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defaultThemeVersion="166925"/>
  <mc:AlternateContent xmlns:mc="http://schemas.openxmlformats.org/markup-compatibility/2006">
    <mc:Choice Requires="x15">
      <x15ac:absPath xmlns:x15ac="http://schemas.microsoft.com/office/spreadsheetml/2010/11/ac" url="P:\Ddr\P01183-SEMA\5-Risque inondation\e- Observatoire\Refonte site NOE\indicateurs observatoire\superficie_zi\"/>
    </mc:Choice>
  </mc:AlternateContent>
  <xr:revisionPtr revIDLastSave="0" documentId="8_{91C3FDDC-D345-4642-B626-9D2787C2CDB5}" xr6:coauthVersionLast="40" xr6:coauthVersionMax="40" xr10:uidLastSave="{00000000-0000-0000-0000-000000000000}"/>
  <bookViews>
    <workbookView xWindow="-120" yWindow="-120" windowWidth="29040" windowHeight="15840" activeTab="1" xr2:uid="{00000000-000D-0000-FFFF-FFFF00000000}"/>
  </bookViews>
  <sheets>
    <sheet name="ZoneInondable2022" sheetId="1" r:id="rId1"/>
    <sheet name="communesZI" sheetId="2" r:id="rId2"/>
    <sheet name="resultats" sheetId="3" r:id="rId3"/>
    <sheet name="BV" sheetId="4" r:id="rId4"/>
    <sheet name="calcul" sheetId="8" r:id="rId5"/>
    <sheet name="alea_gardon" sheetId="9" r:id="rId6"/>
    <sheet name="ZI_BV" sheetId="5" r:id="rId7"/>
    <sheet name="ZI_BV_inond" sheetId="6" r:id="rId8"/>
  </sheets>
  <definedNames>
    <definedName name="_xlnm._FilterDatabase" localSheetId="5" hidden="1">alea_gardon!$A$1:$I$33</definedName>
    <definedName name="_xlnm._FilterDatabase" localSheetId="1" hidden="1">communesZI!$A$2:$AG$355</definedName>
    <definedName name="_xlnm._FilterDatabase" localSheetId="6" hidden="1">ZI_BV!$A$1:$P$1011</definedName>
    <definedName name="_xlnm._FilterDatabase" localSheetId="7" hidden="1">ZI_BV_inond!$A$1:$K$285</definedName>
    <definedName name="_xlnm._FilterDatabase" localSheetId="0" hidden="1">ZoneInondable2022!$A$1:$G$875</definedName>
    <definedName name="_xlnm.Database">ZoneInondable2022!$A$1:$G$870</definedName>
  </definedNames>
  <calcPr calcId="191029"/>
</workbook>
</file>

<file path=xl/calcChain.xml><?xml version="1.0" encoding="utf-8"?>
<calcChain xmlns="http://schemas.openxmlformats.org/spreadsheetml/2006/main">
  <c r="L336" i="2" l="1"/>
  <c r="E42" i="9"/>
  <c r="F42" i="9" s="1"/>
  <c r="F41" i="9"/>
  <c r="E41" i="9"/>
  <c r="E40" i="9"/>
  <c r="F40" i="9" s="1"/>
  <c r="B109" i="3" l="1"/>
  <c r="E60" i="3"/>
  <c r="D63" i="3"/>
  <c r="C63" i="3"/>
  <c r="D62" i="3"/>
  <c r="C62" i="3"/>
  <c r="D60" i="3"/>
  <c r="C60" i="3"/>
  <c r="D59" i="3"/>
  <c r="B63" i="3"/>
  <c r="B60" i="3"/>
  <c r="G35" i="9"/>
  <c r="H15" i="9"/>
  <c r="I15" i="9" s="1"/>
  <c r="H11" i="9"/>
  <c r="H9" i="9"/>
  <c r="I9" i="9" s="1"/>
  <c r="I11" i="9"/>
  <c r="H5" i="9"/>
  <c r="H16" i="9"/>
  <c r="I16" i="9" s="1"/>
  <c r="H31" i="9"/>
  <c r="I31" i="9" s="1"/>
  <c r="H29" i="9"/>
  <c r="I29" i="9" s="1"/>
  <c r="H21" i="9"/>
  <c r="I21" i="9" s="1"/>
  <c r="H6" i="9"/>
  <c r="I6" i="9" s="1"/>
  <c r="H7" i="9"/>
  <c r="I7" i="9" s="1"/>
  <c r="H18" i="9"/>
  <c r="I18" i="9" s="1"/>
  <c r="H2" i="9"/>
  <c r="I2" i="9" s="1"/>
  <c r="H10" i="9"/>
  <c r="H3" i="9"/>
  <c r="I3" i="9" s="1"/>
  <c r="H25" i="9"/>
  <c r="I25" i="9" s="1"/>
  <c r="H13" i="9"/>
  <c r="I13" i="9" s="1"/>
  <c r="I4" i="9"/>
  <c r="I24" i="9"/>
  <c r="H26" i="9"/>
  <c r="I26" i="9" s="1"/>
  <c r="H17" i="9"/>
  <c r="I5" i="9" l="1"/>
  <c r="G60" i="3"/>
  <c r="I17" i="9"/>
  <c r="H33" i="9"/>
  <c r="I33" i="9" s="1"/>
  <c r="I28" i="9"/>
  <c r="I32" i="9"/>
  <c r="H19" i="9"/>
  <c r="I19" i="9" s="1"/>
  <c r="H8" i="9"/>
  <c r="I8" i="9" s="1"/>
  <c r="H30" i="9"/>
  <c r="I30" i="9" s="1"/>
  <c r="H22" i="9"/>
  <c r="I22" i="9" s="1"/>
  <c r="H20" i="9"/>
  <c r="I20" i="9" s="1"/>
  <c r="H23" i="9"/>
  <c r="I23" i="9" s="1"/>
  <c r="I14" i="9"/>
  <c r="I12" i="9"/>
  <c r="I10" i="9"/>
  <c r="I27" i="9"/>
  <c r="K346" i="2"/>
  <c r="H258" i="1"/>
  <c r="H722" i="1"/>
  <c r="J217" i="2"/>
  <c r="J204" i="2"/>
  <c r="H652" i="1"/>
  <c r="H285" i="1"/>
  <c r="M141" i="2"/>
  <c r="G874" i="1"/>
  <c r="L342" i="2"/>
  <c r="H552" i="1"/>
  <c r="H75" i="2"/>
  <c r="H175" i="2"/>
  <c r="I35" i="9" l="1"/>
  <c r="H35" i="9"/>
  <c r="K49" i="2"/>
  <c r="Q6" i="8" l="1"/>
  <c r="AK5" i="8"/>
  <c r="H79" i="8"/>
  <c r="G12" i="8"/>
  <c r="E33" i="8"/>
  <c r="H172" i="2"/>
  <c r="I1014" i="5"/>
  <c r="I1015" i="5" s="1"/>
  <c r="B10" i="3" l="1"/>
  <c r="E11" i="4"/>
  <c r="H11" i="4"/>
  <c r="AN54" i="8"/>
  <c r="G11" i="4"/>
  <c r="AM54" i="8"/>
  <c r="J11" i="4"/>
  <c r="I11" i="4"/>
  <c r="AL54" i="8"/>
  <c r="F11" i="4"/>
  <c r="AI37" i="8"/>
  <c r="AH37" i="8"/>
  <c r="AG37" i="8"/>
  <c r="AF37" i="8"/>
  <c r="AD45" i="8"/>
  <c r="AC45" i="8"/>
  <c r="AB45" i="8"/>
  <c r="AA25" i="8"/>
  <c r="Y125" i="8"/>
  <c r="X125" i="8"/>
  <c r="W125" i="8"/>
  <c r="V25" i="8"/>
  <c r="T51" i="8"/>
  <c r="S51" i="8"/>
  <c r="R51" i="8"/>
  <c r="O35" i="8"/>
  <c r="N35" i="8"/>
  <c r="M35" i="8"/>
  <c r="L33" i="8"/>
  <c r="F3" i="4"/>
  <c r="B57" i="3" s="1"/>
  <c r="J79" i="8"/>
  <c r="I79" i="8"/>
  <c r="C16" i="8"/>
  <c r="A16" i="8"/>
  <c r="B13" i="3"/>
  <c r="B12" i="3"/>
  <c r="B11" i="3"/>
  <c r="B9" i="3"/>
  <c r="B8" i="3"/>
  <c r="B7" i="3"/>
  <c r="B6" i="3"/>
  <c r="H7" i="4"/>
  <c r="G7" i="4"/>
  <c r="F7" i="4"/>
  <c r="J7" i="4"/>
  <c r="G5" i="4"/>
  <c r="C59" i="3" s="1"/>
  <c r="F5" i="4"/>
  <c r="B59" i="3" s="1"/>
  <c r="E5" i="4"/>
  <c r="E59" i="3" s="1"/>
  <c r="C5" i="4"/>
  <c r="H4" i="4"/>
  <c r="D58" i="3" s="1"/>
  <c r="G4" i="4"/>
  <c r="C58" i="3" s="1"/>
  <c r="F4" i="4"/>
  <c r="B58" i="3" s="1"/>
  <c r="G58" i="3" s="1"/>
  <c r="F6" i="4"/>
  <c r="E4" i="4"/>
  <c r="E58" i="3" s="1"/>
  <c r="J4" i="4"/>
  <c r="H10" i="4"/>
  <c r="G10" i="4"/>
  <c r="J10" i="4"/>
  <c r="I10" i="4"/>
  <c r="I13" i="4" s="1"/>
  <c r="F10" i="4"/>
  <c r="E10" i="4"/>
  <c r="J6" i="4"/>
  <c r="H6" i="4"/>
  <c r="C11" i="4"/>
  <c r="D11" i="4" s="1"/>
  <c r="C10" i="4"/>
  <c r="D10" i="4" s="1"/>
  <c r="D7" i="4"/>
  <c r="C7" i="4"/>
  <c r="D6" i="4"/>
  <c r="C6" i="4"/>
  <c r="G6" i="4"/>
  <c r="H2" i="4"/>
  <c r="D56" i="3" s="1"/>
  <c r="E9" i="4"/>
  <c r="E62" i="3" s="1"/>
  <c r="F9" i="4"/>
  <c r="B62" i="3" s="1"/>
  <c r="E8" i="4"/>
  <c r="E61" i="3" s="1"/>
  <c r="H8" i="4"/>
  <c r="D61" i="3" s="1"/>
  <c r="G8" i="4"/>
  <c r="C61" i="3" s="1"/>
  <c r="F8" i="4"/>
  <c r="B61" i="3" s="1"/>
  <c r="E3" i="4"/>
  <c r="E57" i="3" s="1"/>
  <c r="H3" i="4"/>
  <c r="D57" i="3" s="1"/>
  <c r="G3" i="4"/>
  <c r="C57" i="3" s="1"/>
  <c r="D9" i="4"/>
  <c r="C9" i="4"/>
  <c r="D8" i="4"/>
  <c r="C8" i="4"/>
  <c r="D4" i="4"/>
  <c r="B4" i="4"/>
  <c r="C4" i="4" s="1"/>
  <c r="D3" i="4"/>
  <c r="C3" i="4"/>
  <c r="D2" i="4"/>
  <c r="C2" i="4"/>
  <c r="D28" i="3"/>
  <c r="G59" i="3" l="1"/>
  <c r="G57" i="3"/>
  <c r="G61" i="3"/>
  <c r="G62" i="3"/>
  <c r="K10" i="4"/>
  <c r="L10" i="4" s="1"/>
  <c r="M10" i="4" s="1"/>
  <c r="K11" i="4"/>
  <c r="K4" i="4"/>
  <c r="L4" i="4" s="1"/>
  <c r="K8" i="4"/>
  <c r="L8" i="4" s="1"/>
  <c r="K5" i="4"/>
  <c r="L5" i="4" s="1"/>
  <c r="C9" i="3" s="1"/>
  <c r="L11" i="4"/>
  <c r="K9" i="4"/>
  <c r="L9" i="4" s="1"/>
  <c r="J13" i="4"/>
  <c r="H13" i="4"/>
  <c r="K3" i="4"/>
  <c r="L3" i="4" s="1"/>
  <c r="M307" i="2"/>
  <c r="K307" i="2"/>
  <c r="L307" i="2"/>
  <c r="D9" i="3" l="1"/>
  <c r="B22" i="3" s="1"/>
  <c r="C22" i="3" s="1"/>
  <c r="D22" i="3" s="1"/>
  <c r="C10" i="3"/>
  <c r="M11" i="4"/>
  <c r="M5" i="4"/>
  <c r="M3" i="4"/>
  <c r="C7" i="3"/>
  <c r="M8" i="4"/>
  <c r="C11" i="3"/>
  <c r="M4" i="4"/>
  <c r="C8" i="3"/>
  <c r="M9" i="4"/>
  <c r="C12" i="3"/>
  <c r="H350" i="2"/>
  <c r="M346" i="2"/>
  <c r="L346" i="2"/>
  <c r="M347" i="2"/>
  <c r="L347" i="2"/>
  <c r="K347" i="2"/>
  <c r="M349" i="2"/>
  <c r="L349" i="2"/>
  <c r="K349" i="2"/>
  <c r="M352" i="2"/>
  <c r="L352" i="2"/>
  <c r="K352" i="2"/>
  <c r="K348" i="2"/>
  <c r="J9" i="9" s="1"/>
  <c r="L348" i="2"/>
  <c r="K9" i="9" s="1"/>
  <c r="M348" i="2"/>
  <c r="M344" i="2"/>
  <c r="L344" i="2"/>
  <c r="K344" i="2"/>
  <c r="M343" i="2"/>
  <c r="L343" i="2"/>
  <c r="K343" i="2"/>
  <c r="M341" i="2"/>
  <c r="L341" i="2"/>
  <c r="K341" i="2"/>
  <c r="M340" i="2"/>
  <c r="L340" i="2"/>
  <c r="K340" i="2"/>
  <c r="H339" i="2"/>
  <c r="M339" i="2"/>
  <c r="L339" i="2"/>
  <c r="K339" i="2"/>
  <c r="M338" i="2"/>
  <c r="L338" i="2"/>
  <c r="K338" i="2"/>
  <c r="M337" i="2"/>
  <c r="K337" i="2"/>
  <c r="L337" i="2"/>
  <c r="J337" i="2"/>
  <c r="M336" i="2"/>
  <c r="G40" i="9" s="1"/>
  <c r="G308" i="1" s="1"/>
  <c r="K336" i="2" s="1"/>
  <c r="K342" i="2"/>
  <c r="H342" i="2"/>
  <c r="L351" i="2"/>
  <c r="K351" i="2"/>
  <c r="I351" i="2"/>
  <c r="H351" i="2"/>
  <c r="H353" i="2"/>
  <c r="H330" i="2"/>
  <c r="M333" i="2"/>
  <c r="K333" i="2"/>
  <c r="M331" i="2"/>
  <c r="L331" i="2"/>
  <c r="K331" i="2"/>
  <c r="I326" i="2"/>
  <c r="H326" i="2"/>
  <c r="H329" i="2"/>
  <c r="M328" i="2"/>
  <c r="L328" i="2"/>
  <c r="K328" i="2"/>
  <c r="M327" i="2"/>
  <c r="L327" i="2"/>
  <c r="K327" i="2"/>
  <c r="I332" i="2"/>
  <c r="H332" i="2"/>
  <c r="M334" i="2"/>
  <c r="L334" i="2"/>
  <c r="K334" i="2"/>
  <c r="J334" i="2"/>
  <c r="K324" i="2"/>
  <c r="M324" i="2"/>
  <c r="H325" i="2"/>
  <c r="L313" i="2"/>
  <c r="K11" i="9" s="1"/>
  <c r="K313" i="2"/>
  <c r="J11" i="9" s="1"/>
  <c r="M313" i="2"/>
  <c r="M312" i="2"/>
  <c r="L312" i="2"/>
  <c r="K312" i="2"/>
  <c r="M315" i="2"/>
  <c r="L315" i="2"/>
  <c r="K315" i="2"/>
  <c r="M323" i="2"/>
  <c r="L323" i="2"/>
  <c r="K323" i="2"/>
  <c r="K321" i="2"/>
  <c r="L321" i="2"/>
  <c r="M321" i="2"/>
  <c r="M320" i="2"/>
  <c r="L320" i="2"/>
  <c r="K320" i="2"/>
  <c r="K318" i="2"/>
  <c r="M318" i="2"/>
  <c r="L318" i="2"/>
  <c r="L317" i="2"/>
  <c r="M317" i="2"/>
  <c r="K317" i="2"/>
  <c r="I311" i="2"/>
  <c r="H311" i="2"/>
  <c r="H314" i="2"/>
  <c r="H316" i="2"/>
  <c r="M319" i="2"/>
  <c r="L319" i="2"/>
  <c r="K319" i="2"/>
  <c r="J319" i="2"/>
  <c r="H322" i="2"/>
  <c r="M297" i="2"/>
  <c r="M298" i="2"/>
  <c r="L298" i="2"/>
  <c r="K298" i="2"/>
  <c r="M296" i="2"/>
  <c r="L296" i="2"/>
  <c r="J296" i="2"/>
  <c r="K296" i="2"/>
  <c r="M309" i="2"/>
  <c r="L309" i="2"/>
  <c r="K309" i="2"/>
  <c r="M308" i="2"/>
  <c r="L308" i="2"/>
  <c r="K308" i="2"/>
  <c r="M306" i="2"/>
  <c r="L306" i="2"/>
  <c r="K306" i="2"/>
  <c r="M305" i="2"/>
  <c r="L305" i="2"/>
  <c r="K305" i="2"/>
  <c r="H300" i="2"/>
  <c r="H310" i="2"/>
  <c r="M299" i="2"/>
  <c r="L299" i="2"/>
  <c r="K299" i="2"/>
  <c r="J299" i="2"/>
  <c r="H304" i="2"/>
  <c r="H294" i="2"/>
  <c r="H295" i="2"/>
  <c r="H293" i="2"/>
  <c r="M292" i="2"/>
  <c r="L292" i="2"/>
  <c r="K292" i="2"/>
  <c r="J292" i="2"/>
  <c r="H285" i="2"/>
  <c r="M291" i="2"/>
  <c r="L291" i="2"/>
  <c r="K291" i="2"/>
  <c r="M290" i="2"/>
  <c r="L290" i="2"/>
  <c r="K290" i="2"/>
  <c r="M289" i="2"/>
  <c r="L289" i="2"/>
  <c r="K289" i="2"/>
  <c r="H288" i="2"/>
  <c r="M287" i="2"/>
  <c r="L287" i="2"/>
  <c r="K287" i="2"/>
  <c r="M286" i="2"/>
  <c r="L286" i="2"/>
  <c r="K286" i="2"/>
  <c r="K284" i="2"/>
  <c r="K278" i="2"/>
  <c r="M278" i="2"/>
  <c r="L281" i="2"/>
  <c r="K15" i="9" s="1"/>
  <c r="K281" i="2"/>
  <c r="J15" i="9" s="1"/>
  <c r="M281" i="2"/>
  <c r="M283" i="2"/>
  <c r="L283" i="2"/>
  <c r="K283" i="2"/>
  <c r="M282" i="2"/>
  <c r="L282" i="2"/>
  <c r="K282" i="2"/>
  <c r="M280" i="2"/>
  <c r="L280" i="2"/>
  <c r="K280" i="2"/>
  <c r="H279" i="2"/>
  <c r="L278" i="2"/>
  <c r="L277" i="2"/>
  <c r="K5" i="9" s="1"/>
  <c r="K277" i="2"/>
  <c r="J5" i="9" s="1"/>
  <c r="M277" i="2"/>
  <c r="M275" i="2"/>
  <c r="L275" i="2"/>
  <c r="K275" i="2"/>
  <c r="H276" i="2"/>
  <c r="I274" i="2"/>
  <c r="H274" i="2"/>
  <c r="M273" i="2"/>
  <c r="L273" i="2"/>
  <c r="K273" i="2"/>
  <c r="M272" i="2"/>
  <c r="L272" i="2"/>
  <c r="K272" i="2"/>
  <c r="M271" i="2"/>
  <c r="L271" i="2"/>
  <c r="K16" i="9" s="1"/>
  <c r="K271" i="2"/>
  <c r="J16" i="9" s="1"/>
  <c r="L260" i="2"/>
  <c r="K31" i="9" s="1"/>
  <c r="K260" i="2"/>
  <c r="J31" i="9" s="1"/>
  <c r="M260" i="2"/>
  <c r="L270" i="2"/>
  <c r="M270" i="2"/>
  <c r="K270" i="2"/>
  <c r="H269" i="2"/>
  <c r="M267" i="2"/>
  <c r="L267" i="2"/>
  <c r="K267" i="2"/>
  <c r="M266" i="2"/>
  <c r="L266" i="2"/>
  <c r="K266" i="2"/>
  <c r="M264" i="2"/>
  <c r="L264" i="2"/>
  <c r="K264" i="2"/>
  <c r="M262" i="2"/>
  <c r="L262" i="2"/>
  <c r="K262" i="2"/>
  <c r="H261" i="2"/>
  <c r="H268" i="2"/>
  <c r="H263" i="2"/>
  <c r="H265" i="2"/>
  <c r="H259" i="2"/>
  <c r="M258" i="2"/>
  <c r="L258" i="2"/>
  <c r="K258" i="2"/>
  <c r="J258" i="2"/>
  <c r="M257" i="2"/>
  <c r="K257" i="2"/>
  <c r="J29" i="9" s="1"/>
  <c r="L257" i="2"/>
  <c r="K29" i="9" s="1"/>
  <c r="M256" i="2"/>
  <c r="L256" i="2"/>
  <c r="K256" i="2"/>
  <c r="L255" i="2"/>
  <c r="M255" i="2"/>
  <c r="K255" i="2"/>
  <c r="M302" i="2"/>
  <c r="L302" i="2"/>
  <c r="K302" i="2"/>
  <c r="M254" i="2"/>
  <c r="L254" i="2"/>
  <c r="K254" i="2"/>
  <c r="L247" i="2"/>
  <c r="M253" i="2"/>
  <c r="L253" i="2"/>
  <c r="K253" i="2"/>
  <c r="M252" i="2"/>
  <c r="L252" i="2"/>
  <c r="K252" i="2"/>
  <c r="L251" i="2"/>
  <c r="M251" i="2"/>
  <c r="M250" i="2"/>
  <c r="L250" i="2"/>
  <c r="K250" i="2"/>
  <c r="M249" i="2"/>
  <c r="L249" i="2"/>
  <c r="K249" i="2"/>
  <c r="H248" i="2"/>
  <c r="L246" i="2"/>
  <c r="K6" i="9" s="1"/>
  <c r="K246" i="2"/>
  <c r="J6" i="9" s="1"/>
  <c r="M246" i="2"/>
  <c r="K247" i="2"/>
  <c r="J301" i="2"/>
  <c r="M301" i="2"/>
  <c r="L301" i="2"/>
  <c r="K301" i="2"/>
  <c r="M245" i="2"/>
  <c r="L245" i="2"/>
  <c r="K245" i="2"/>
  <c r="K244" i="2"/>
  <c r="J7" i="9" s="1"/>
  <c r="L244" i="2"/>
  <c r="K7" i="9" s="1"/>
  <c r="M244" i="2"/>
  <c r="M243" i="2"/>
  <c r="L243" i="2"/>
  <c r="K243" i="2"/>
  <c r="M242" i="2"/>
  <c r="L242" i="2"/>
  <c r="K242" i="2"/>
  <c r="M240" i="2"/>
  <c r="L240" i="2"/>
  <c r="K240" i="2"/>
  <c r="H241" i="2"/>
  <c r="H239" i="2"/>
  <c r="L238" i="2"/>
  <c r="K18" i="9" s="1"/>
  <c r="K238" i="2"/>
  <c r="J18" i="9" s="1"/>
  <c r="M238" i="2"/>
  <c r="L237" i="2"/>
  <c r="K2" i="9" s="1"/>
  <c r="K237" i="2"/>
  <c r="J2" i="9" s="1"/>
  <c r="M237" i="2"/>
  <c r="K223" i="2"/>
  <c r="J10" i="9" s="1"/>
  <c r="L223" i="2"/>
  <c r="K10" i="9" s="1"/>
  <c r="L191" i="2"/>
  <c r="K3" i="9" s="1"/>
  <c r="K191" i="2"/>
  <c r="J3" i="9" s="1"/>
  <c r="L187" i="2"/>
  <c r="K25" i="9" s="1"/>
  <c r="K187" i="2"/>
  <c r="J25" i="9" s="1"/>
  <c r="L183" i="2"/>
  <c r="K13" i="9" s="1"/>
  <c r="K183" i="2"/>
  <c r="J13" i="9" s="1"/>
  <c r="L179" i="2"/>
  <c r="K4" i="9" s="1"/>
  <c r="K179" i="2"/>
  <c r="J4" i="9" s="1"/>
  <c r="L176" i="2"/>
  <c r="K24" i="9" s="1"/>
  <c r="K176" i="2"/>
  <c r="J24" i="9" s="1"/>
  <c r="L171" i="2"/>
  <c r="K26" i="9" s="1"/>
  <c r="K171" i="2"/>
  <c r="J26" i="9" s="1"/>
  <c r="L163" i="2"/>
  <c r="K17" i="9" s="1"/>
  <c r="K163" i="2"/>
  <c r="J17" i="9" s="1"/>
  <c r="L158" i="2"/>
  <c r="K33" i="9" s="1"/>
  <c r="K158" i="2"/>
  <c r="J33" i="9" s="1"/>
  <c r="L156" i="2"/>
  <c r="K28" i="9" s="1"/>
  <c r="K156" i="2"/>
  <c r="J28" i="9" s="1"/>
  <c r="L145" i="2"/>
  <c r="K14" i="9" s="1"/>
  <c r="K145" i="2"/>
  <c r="J14" i="9" s="1"/>
  <c r="L125" i="2"/>
  <c r="K19" i="9" s="1"/>
  <c r="K125" i="2"/>
  <c r="J19" i="9" s="1"/>
  <c r="L121" i="2"/>
  <c r="K8" i="9" s="1"/>
  <c r="K121" i="2"/>
  <c r="J8" i="9" s="1"/>
  <c r="L104" i="2"/>
  <c r="K32" i="9" s="1"/>
  <c r="K104" i="2"/>
  <c r="J32" i="9" s="1"/>
  <c r="L101" i="2"/>
  <c r="K23" i="9" s="1"/>
  <c r="K101" i="2"/>
  <c r="J23" i="9" s="1"/>
  <c r="L100" i="2"/>
  <c r="K30" i="9" s="1"/>
  <c r="K100" i="2"/>
  <c r="J30" i="9" s="1"/>
  <c r="L73" i="2"/>
  <c r="K12" i="9" s="1"/>
  <c r="K73" i="2"/>
  <c r="J12" i="9" s="1"/>
  <c r="L72" i="2"/>
  <c r="K27" i="9" s="1"/>
  <c r="K72" i="2"/>
  <c r="J27" i="9" s="1"/>
  <c r="L55" i="2"/>
  <c r="K20" i="9" s="1"/>
  <c r="K55" i="2"/>
  <c r="J20" i="9" s="1"/>
  <c r="L48" i="2"/>
  <c r="K22" i="9" s="1"/>
  <c r="K48" i="2"/>
  <c r="L12" i="9" l="1"/>
  <c r="L5" i="9"/>
  <c r="L14" i="9"/>
  <c r="L27" i="9"/>
  <c r="L32" i="9"/>
  <c r="L28" i="9"/>
  <c r="L24" i="9"/>
  <c r="L18" i="9"/>
  <c r="L31" i="9"/>
  <c r="L15" i="9"/>
  <c r="L11" i="9"/>
  <c r="L9" i="9"/>
  <c r="L4" i="9"/>
  <c r="K251" i="2"/>
  <c r="J21" i="9" s="1"/>
  <c r="K21" i="9"/>
  <c r="K35" i="9" s="1"/>
  <c r="H37" i="9" s="1"/>
  <c r="G2" i="4" s="1"/>
  <c r="L6" i="9"/>
  <c r="L29" i="9"/>
  <c r="L16" i="9"/>
  <c r="L7" i="9"/>
  <c r="L10" i="9"/>
  <c r="L17" i="9"/>
  <c r="L3" i="9"/>
  <c r="L2" i="9"/>
  <c r="L13" i="9"/>
  <c r="L25" i="9"/>
  <c r="L26" i="9"/>
  <c r="L33" i="9"/>
  <c r="L19" i="9"/>
  <c r="L8" i="9"/>
  <c r="L23" i="9"/>
  <c r="L30" i="9"/>
  <c r="L20" i="9"/>
  <c r="J22" i="9"/>
  <c r="L22" i="9" s="1"/>
  <c r="D7" i="3"/>
  <c r="B20" i="3" s="1"/>
  <c r="C20" i="3" s="1"/>
  <c r="D20" i="3" s="1"/>
  <c r="D8" i="3"/>
  <c r="B21" i="3" s="1"/>
  <c r="C21" i="3" s="1"/>
  <c r="D21" i="3" s="1"/>
  <c r="D12" i="3"/>
  <c r="B25" i="3" s="1"/>
  <c r="C25" i="3" s="1"/>
  <c r="D25" i="3" s="1"/>
  <c r="D11" i="3"/>
  <c r="B24" i="3" s="1"/>
  <c r="C24" i="3" s="1"/>
  <c r="D24" i="3" s="1"/>
  <c r="D10" i="3"/>
  <c r="B23" i="3" s="1"/>
  <c r="C23" i="3" s="1"/>
  <c r="D23" i="3" s="1"/>
  <c r="M231" i="2"/>
  <c r="K231" i="2"/>
  <c r="M235" i="2"/>
  <c r="L235" i="2"/>
  <c r="K235" i="2"/>
  <c r="M234" i="2"/>
  <c r="L234" i="2"/>
  <c r="K234" i="2"/>
  <c r="M230" i="2"/>
  <c r="L230" i="2"/>
  <c r="K230" i="2"/>
  <c r="M228" i="2"/>
  <c r="L228" i="2"/>
  <c r="K228" i="2"/>
  <c r="M226" i="2"/>
  <c r="L226" i="2"/>
  <c r="K226" i="2"/>
  <c r="M224" i="2"/>
  <c r="L224" i="2"/>
  <c r="K224" i="2"/>
  <c r="H236" i="2"/>
  <c r="H233" i="2"/>
  <c r="H232" i="2"/>
  <c r="K225" i="2"/>
  <c r="L225" i="2"/>
  <c r="I225" i="2"/>
  <c r="H225" i="2"/>
  <c r="H227" i="2"/>
  <c r="H229" i="2"/>
  <c r="L222" i="2"/>
  <c r="M222" i="2"/>
  <c r="K222" i="2"/>
  <c r="M223" i="2"/>
  <c r="M219" i="2"/>
  <c r="L219" i="2"/>
  <c r="K219" i="2"/>
  <c r="M217" i="2"/>
  <c r="L217" i="2"/>
  <c r="K217" i="2"/>
  <c r="M216" i="2"/>
  <c r="L216" i="2"/>
  <c r="K216" i="2"/>
  <c r="M214" i="2"/>
  <c r="L214" i="2"/>
  <c r="K214" i="2"/>
  <c r="M213" i="2"/>
  <c r="L213" i="2"/>
  <c r="K213" i="2"/>
  <c r="M212" i="2"/>
  <c r="L212" i="2"/>
  <c r="K212" i="2"/>
  <c r="M210" i="2"/>
  <c r="L210" i="2"/>
  <c r="K210" i="2"/>
  <c r="M209" i="2"/>
  <c r="L209" i="2"/>
  <c r="K209" i="2"/>
  <c r="K221" i="2"/>
  <c r="L221" i="2"/>
  <c r="I215" i="2"/>
  <c r="I221" i="2"/>
  <c r="H221" i="2"/>
  <c r="I208" i="2"/>
  <c r="H215" i="2"/>
  <c r="H220" i="2"/>
  <c r="H211" i="2"/>
  <c r="H218" i="2"/>
  <c r="H208" i="2"/>
  <c r="M207" i="2"/>
  <c r="L207" i="2"/>
  <c r="K207" i="2"/>
  <c r="I199" i="2"/>
  <c r="L199" i="2"/>
  <c r="K199" i="2"/>
  <c r="M205" i="2"/>
  <c r="L205" i="2"/>
  <c r="K205" i="2"/>
  <c r="M204" i="2"/>
  <c r="L204" i="2"/>
  <c r="K204" i="2"/>
  <c r="M203" i="2"/>
  <c r="L203" i="2"/>
  <c r="K203" i="2"/>
  <c r="M202" i="2"/>
  <c r="L202" i="2"/>
  <c r="K202" i="2"/>
  <c r="M201" i="2"/>
  <c r="L201" i="2"/>
  <c r="K201" i="2"/>
  <c r="M195" i="2"/>
  <c r="L195" i="2"/>
  <c r="K195" i="2"/>
  <c r="M194" i="2"/>
  <c r="L194" i="2"/>
  <c r="K194" i="2"/>
  <c r="M192" i="2"/>
  <c r="L192" i="2"/>
  <c r="K192" i="2"/>
  <c r="M191" i="2"/>
  <c r="M190" i="2"/>
  <c r="L190" i="2"/>
  <c r="K190" i="2"/>
  <c r="M189" i="2"/>
  <c r="L189" i="2"/>
  <c r="K189" i="2"/>
  <c r="N188" i="2"/>
  <c r="N354" i="2" s="1"/>
  <c r="I12" i="4" s="1"/>
  <c r="M188" i="2"/>
  <c r="L188" i="2"/>
  <c r="K188" i="2"/>
  <c r="J188" i="2"/>
  <c r="H193" i="2"/>
  <c r="H196" i="2"/>
  <c r="H197" i="2"/>
  <c r="H198" i="2"/>
  <c r="H199" i="2"/>
  <c r="H200" i="2"/>
  <c r="M187" i="2"/>
  <c r="M186" i="2"/>
  <c r="L186" i="2"/>
  <c r="K186" i="2"/>
  <c r="M185" i="2"/>
  <c r="L185" i="2"/>
  <c r="K185" i="2"/>
  <c r="L184" i="2"/>
  <c r="K184" i="2"/>
  <c r="M183" i="2"/>
  <c r="M182" i="2"/>
  <c r="L182" i="2"/>
  <c r="K182" i="2"/>
  <c r="H181" i="2"/>
  <c r="M180" i="2"/>
  <c r="L180" i="2"/>
  <c r="K180" i="2"/>
  <c r="M179" i="2"/>
  <c r="M178" i="2"/>
  <c r="L178" i="2"/>
  <c r="K178" i="2"/>
  <c r="M176" i="2"/>
  <c r="M174" i="2"/>
  <c r="L174" i="2"/>
  <c r="K174" i="2"/>
  <c r="M177" i="2"/>
  <c r="L177" i="2"/>
  <c r="K177" i="2"/>
  <c r="M171" i="2"/>
  <c r="M169" i="2"/>
  <c r="L169" i="2"/>
  <c r="K169" i="2"/>
  <c r="J167" i="2"/>
  <c r="M167" i="2"/>
  <c r="L167" i="2"/>
  <c r="K167" i="2"/>
  <c r="L165" i="2"/>
  <c r="M165" i="2"/>
  <c r="K165" i="2"/>
  <c r="M164" i="2"/>
  <c r="L164" i="2"/>
  <c r="K164" i="2"/>
  <c r="M162" i="2"/>
  <c r="L162" i="2"/>
  <c r="K162" i="2"/>
  <c r="M163" i="2"/>
  <c r="M161" i="2"/>
  <c r="K161" i="2"/>
  <c r="M173" i="2"/>
  <c r="L173" i="2"/>
  <c r="K173" i="2"/>
  <c r="J173" i="2"/>
  <c r="H166" i="2"/>
  <c r="H170" i="2"/>
  <c r="H168" i="2"/>
  <c r="H160" i="2"/>
  <c r="H159" i="2"/>
  <c r="M145" i="2"/>
  <c r="H145" i="2" s="1"/>
  <c r="G873" i="1" s="1"/>
  <c r="M156" i="2"/>
  <c r="M157" i="2"/>
  <c r="L157" i="2"/>
  <c r="K157" i="2"/>
  <c r="M155" i="2"/>
  <c r="L155" i="2"/>
  <c r="J155" i="2"/>
  <c r="K155" i="2"/>
  <c r="M158" i="2"/>
  <c r="M154" i="2"/>
  <c r="L154" i="2"/>
  <c r="K154" i="2"/>
  <c r="H153" i="2"/>
  <c r="H152" i="2"/>
  <c r="M151" i="2"/>
  <c r="L151" i="2"/>
  <c r="K151" i="2"/>
  <c r="I149" i="2"/>
  <c r="H149" i="2"/>
  <c r="M148" i="2"/>
  <c r="L148" i="2"/>
  <c r="K148" i="2"/>
  <c r="M144" i="2"/>
  <c r="L144" i="2"/>
  <c r="K144" i="2"/>
  <c r="M143" i="2"/>
  <c r="L143" i="2"/>
  <c r="K143" i="2"/>
  <c r="M150" i="2"/>
  <c r="L150" i="2"/>
  <c r="K150" i="2"/>
  <c r="H147" i="2"/>
  <c r="H146" i="2"/>
  <c r="H142" i="2"/>
  <c r="L141" i="2"/>
  <c r="K141" i="2"/>
  <c r="M140" i="2"/>
  <c r="L140" i="2"/>
  <c r="K140" i="2"/>
  <c r="M124" i="2"/>
  <c r="K124" i="2"/>
  <c r="M137" i="2"/>
  <c r="L137" i="2"/>
  <c r="K137" i="2"/>
  <c r="M136" i="2"/>
  <c r="M135" i="2"/>
  <c r="L135" i="2"/>
  <c r="K135" i="2"/>
  <c r="M134" i="2"/>
  <c r="L134" i="2"/>
  <c r="K134" i="2"/>
  <c r="K133" i="2"/>
  <c r="H133" i="2"/>
  <c r="P132" i="2"/>
  <c r="P354" i="2" s="1"/>
  <c r="J12" i="4" s="1"/>
  <c r="M132" i="2"/>
  <c r="L132" i="2"/>
  <c r="K132" i="2"/>
  <c r="M131" i="2"/>
  <c r="L131" i="2"/>
  <c r="K131" i="2"/>
  <c r="M130" i="2"/>
  <c r="L130" i="2"/>
  <c r="K130" i="2"/>
  <c r="M129" i="2"/>
  <c r="L129" i="2"/>
  <c r="K129" i="2"/>
  <c r="H129" i="2"/>
  <c r="M127" i="2"/>
  <c r="L127" i="2"/>
  <c r="K127" i="2"/>
  <c r="M126" i="2"/>
  <c r="L126" i="2"/>
  <c r="K126" i="2"/>
  <c r="M125" i="2"/>
  <c r="H139" i="2"/>
  <c r="H138" i="2"/>
  <c r="H128" i="2"/>
  <c r="H123" i="2"/>
  <c r="M122" i="2"/>
  <c r="L122" i="2"/>
  <c r="K122" i="2"/>
  <c r="M113" i="2"/>
  <c r="L113" i="2"/>
  <c r="K113" i="2"/>
  <c r="J121" i="2"/>
  <c r="M121" i="2"/>
  <c r="M120" i="2"/>
  <c r="K120" i="2"/>
  <c r="M119" i="2"/>
  <c r="L119" i="2"/>
  <c r="K119" i="2"/>
  <c r="H118" i="2"/>
  <c r="M117" i="2"/>
  <c r="L117" i="2"/>
  <c r="K117" i="2"/>
  <c r="M116" i="2"/>
  <c r="L116" i="2"/>
  <c r="K116" i="2"/>
  <c r="M115" i="2"/>
  <c r="L115" i="2"/>
  <c r="K115" i="2"/>
  <c r="K114" i="2"/>
  <c r="M114" i="2"/>
  <c r="L114" i="2"/>
  <c r="M112" i="2"/>
  <c r="L112" i="2"/>
  <c r="K112" i="2"/>
  <c r="AB353" i="2"/>
  <c r="AB352" i="2"/>
  <c r="AB351" i="2"/>
  <c r="AB350" i="2"/>
  <c r="AB349" i="2"/>
  <c r="AB348" i="2"/>
  <c r="AB347" i="2"/>
  <c r="AB346" i="2"/>
  <c r="AB345" i="2"/>
  <c r="AB344" i="2"/>
  <c r="AB343" i="2"/>
  <c r="AB342" i="2"/>
  <c r="AB341" i="2"/>
  <c r="AB340" i="2"/>
  <c r="AB339" i="2"/>
  <c r="AB338" i="2"/>
  <c r="AB337" i="2"/>
  <c r="AB336" i="2"/>
  <c r="AB335" i="2"/>
  <c r="AB334" i="2"/>
  <c r="AB333" i="2"/>
  <c r="AB332" i="2"/>
  <c r="AB331" i="2"/>
  <c r="AB330" i="2"/>
  <c r="AB329" i="2"/>
  <c r="AC329" i="2" s="1"/>
  <c r="AB328" i="2"/>
  <c r="AB327" i="2"/>
  <c r="AB326" i="2"/>
  <c r="AB325" i="2"/>
  <c r="AB324" i="2"/>
  <c r="AB323" i="2"/>
  <c r="AB322" i="2"/>
  <c r="AB321" i="2"/>
  <c r="AB320" i="2"/>
  <c r="AB319" i="2"/>
  <c r="AB318" i="2"/>
  <c r="AB317" i="2"/>
  <c r="AB316" i="2"/>
  <c r="AB315" i="2"/>
  <c r="AB314" i="2"/>
  <c r="AB313" i="2"/>
  <c r="AB312" i="2"/>
  <c r="AB311" i="2"/>
  <c r="AB310" i="2"/>
  <c r="AB309" i="2"/>
  <c r="AB308" i="2"/>
  <c r="AB307" i="2"/>
  <c r="AB306" i="2"/>
  <c r="AB305" i="2"/>
  <c r="AB304" i="2"/>
  <c r="AB303" i="2"/>
  <c r="AB302" i="2"/>
  <c r="AB301" i="2"/>
  <c r="AB300" i="2"/>
  <c r="AB299" i="2"/>
  <c r="AB298" i="2"/>
  <c r="AB297" i="2"/>
  <c r="AB296" i="2"/>
  <c r="AB295" i="2"/>
  <c r="AB294" i="2"/>
  <c r="AB293" i="2"/>
  <c r="AC293" i="2" s="1"/>
  <c r="AB292" i="2"/>
  <c r="AB291" i="2"/>
  <c r="AB290" i="2"/>
  <c r="AB289" i="2"/>
  <c r="AB288" i="2"/>
  <c r="AB287" i="2"/>
  <c r="AB286" i="2"/>
  <c r="AB285" i="2"/>
  <c r="AB284" i="2"/>
  <c r="AB283" i="2"/>
  <c r="AB282" i="2"/>
  <c r="AB281" i="2"/>
  <c r="AB280" i="2"/>
  <c r="AB279" i="2"/>
  <c r="AB278" i="2"/>
  <c r="AB277" i="2"/>
  <c r="AB276" i="2"/>
  <c r="AB275" i="2"/>
  <c r="AB274" i="2"/>
  <c r="AB273" i="2"/>
  <c r="AB272" i="2"/>
  <c r="AB271" i="2"/>
  <c r="AB270" i="2"/>
  <c r="AB269" i="2"/>
  <c r="AB268" i="2"/>
  <c r="AB267" i="2"/>
  <c r="AB266" i="2"/>
  <c r="AB265" i="2"/>
  <c r="AB264" i="2"/>
  <c r="AB263" i="2"/>
  <c r="AB262" i="2"/>
  <c r="AB261" i="2"/>
  <c r="AB260" i="2"/>
  <c r="AB259" i="2"/>
  <c r="AB258" i="2"/>
  <c r="AB257" i="2"/>
  <c r="AB256" i="2"/>
  <c r="AB255" i="2"/>
  <c r="AB254" i="2"/>
  <c r="AB253" i="2"/>
  <c r="AB252" i="2"/>
  <c r="AB251" i="2"/>
  <c r="AB250" i="2"/>
  <c r="AB249" i="2"/>
  <c r="AB248" i="2"/>
  <c r="AB247" i="2"/>
  <c r="AB246" i="2"/>
  <c r="AB245" i="2"/>
  <c r="AB244" i="2"/>
  <c r="AB243" i="2"/>
  <c r="AB242" i="2"/>
  <c r="AB241" i="2"/>
  <c r="AB240" i="2"/>
  <c r="AB239" i="2"/>
  <c r="AB238" i="2"/>
  <c r="AB237" i="2"/>
  <c r="AB236" i="2"/>
  <c r="AB235" i="2"/>
  <c r="AB234" i="2"/>
  <c r="AB233" i="2"/>
  <c r="AB232" i="2"/>
  <c r="AC232" i="2" s="1"/>
  <c r="AB231" i="2"/>
  <c r="AB230" i="2"/>
  <c r="AB229" i="2"/>
  <c r="AB228" i="2"/>
  <c r="AB227" i="2"/>
  <c r="AB226" i="2"/>
  <c r="AB225" i="2"/>
  <c r="AB224" i="2"/>
  <c r="AB223" i="2"/>
  <c r="AB222" i="2"/>
  <c r="AB221" i="2"/>
  <c r="AB220" i="2"/>
  <c r="AB219" i="2"/>
  <c r="AB218" i="2"/>
  <c r="AB217" i="2"/>
  <c r="AB216" i="2"/>
  <c r="AB215" i="2"/>
  <c r="AB214" i="2"/>
  <c r="AB213" i="2"/>
  <c r="AB212" i="2"/>
  <c r="AB211" i="2"/>
  <c r="AB210" i="2"/>
  <c r="AB209" i="2"/>
  <c r="AB208" i="2"/>
  <c r="AB207" i="2"/>
  <c r="AB206" i="2"/>
  <c r="AB205" i="2"/>
  <c r="AB204" i="2"/>
  <c r="AB203" i="2"/>
  <c r="AB202" i="2"/>
  <c r="AB201" i="2"/>
  <c r="AB200" i="2"/>
  <c r="AB199" i="2"/>
  <c r="AB198" i="2"/>
  <c r="AB197" i="2"/>
  <c r="AB196" i="2"/>
  <c r="AB195" i="2"/>
  <c r="AB194" i="2"/>
  <c r="AB193" i="2"/>
  <c r="AB192" i="2"/>
  <c r="AB191" i="2"/>
  <c r="AB190" i="2"/>
  <c r="AB189" i="2"/>
  <c r="AB188" i="2"/>
  <c r="AB187" i="2"/>
  <c r="AB186" i="2"/>
  <c r="AB185" i="2"/>
  <c r="AB184" i="2"/>
  <c r="AB183" i="2"/>
  <c r="AB182" i="2"/>
  <c r="AB181" i="2"/>
  <c r="AB180" i="2"/>
  <c r="AB179" i="2"/>
  <c r="AB178" i="2"/>
  <c r="AB177" i="2"/>
  <c r="AB176" i="2"/>
  <c r="AB175" i="2"/>
  <c r="AB174" i="2"/>
  <c r="AB173" i="2"/>
  <c r="AB172" i="2"/>
  <c r="AB171" i="2"/>
  <c r="AB170" i="2"/>
  <c r="AB169" i="2"/>
  <c r="AB168" i="2"/>
  <c r="AB167" i="2"/>
  <c r="AB166" i="2"/>
  <c r="AB165" i="2"/>
  <c r="AB164" i="2"/>
  <c r="AB163" i="2"/>
  <c r="AB162" i="2"/>
  <c r="AB161" i="2"/>
  <c r="AB160" i="2"/>
  <c r="AB159" i="2"/>
  <c r="AB158" i="2"/>
  <c r="AB157" i="2"/>
  <c r="AB156" i="2"/>
  <c r="AB155" i="2"/>
  <c r="AB154" i="2"/>
  <c r="AB153" i="2"/>
  <c r="AB152" i="2"/>
  <c r="AB151" i="2"/>
  <c r="AB150" i="2"/>
  <c r="AB149" i="2"/>
  <c r="AB148" i="2"/>
  <c r="AB147" i="2"/>
  <c r="AB146" i="2"/>
  <c r="AB145" i="2"/>
  <c r="AB144" i="2"/>
  <c r="AB143" i="2"/>
  <c r="AB142" i="2"/>
  <c r="AB141" i="2"/>
  <c r="AB140" i="2"/>
  <c r="AB139" i="2"/>
  <c r="AB138" i="2"/>
  <c r="AB137" i="2"/>
  <c r="AB136" i="2"/>
  <c r="AB135" i="2"/>
  <c r="AB134" i="2"/>
  <c r="AB133" i="2"/>
  <c r="AB132" i="2"/>
  <c r="AB131" i="2"/>
  <c r="AB130" i="2"/>
  <c r="AB129" i="2"/>
  <c r="AB128" i="2"/>
  <c r="AB127" i="2"/>
  <c r="AB126" i="2"/>
  <c r="AB125" i="2"/>
  <c r="AB124" i="2"/>
  <c r="AB123" i="2"/>
  <c r="AB122" i="2"/>
  <c r="AB121" i="2"/>
  <c r="AB120" i="2"/>
  <c r="AB119" i="2"/>
  <c r="AB118" i="2"/>
  <c r="AB117" i="2"/>
  <c r="AB116" i="2"/>
  <c r="AB115" i="2"/>
  <c r="AB114" i="2"/>
  <c r="AB113" i="2"/>
  <c r="AB112" i="2"/>
  <c r="AB111" i="2"/>
  <c r="AB110" i="2"/>
  <c r="AB109" i="2"/>
  <c r="AB108" i="2"/>
  <c r="AB107" i="2"/>
  <c r="AB106" i="2"/>
  <c r="AB105" i="2"/>
  <c r="AB104" i="2"/>
  <c r="AB103" i="2"/>
  <c r="AB102" i="2"/>
  <c r="AB101" i="2"/>
  <c r="AB100" i="2"/>
  <c r="AB99" i="2"/>
  <c r="AB98" i="2"/>
  <c r="AB97" i="2"/>
  <c r="AB96" i="2"/>
  <c r="AB95" i="2"/>
  <c r="AB94" i="2"/>
  <c r="AB93" i="2"/>
  <c r="AB92" i="2"/>
  <c r="AB91" i="2"/>
  <c r="AB90" i="2"/>
  <c r="AB89" i="2"/>
  <c r="AB88" i="2"/>
  <c r="AB87" i="2"/>
  <c r="AB86" i="2"/>
  <c r="AB85" i="2"/>
  <c r="AB84" i="2"/>
  <c r="AB83" i="2"/>
  <c r="AB82" i="2"/>
  <c r="AB81" i="2"/>
  <c r="AB80" i="2"/>
  <c r="AB79" i="2"/>
  <c r="AB78" i="2"/>
  <c r="AB77" i="2"/>
  <c r="AB76" i="2"/>
  <c r="AB75" i="2"/>
  <c r="AB74" i="2"/>
  <c r="AB73" i="2"/>
  <c r="AB72" i="2"/>
  <c r="AB71" i="2"/>
  <c r="AB70" i="2"/>
  <c r="AB69" i="2"/>
  <c r="AB68" i="2"/>
  <c r="AB67" i="2"/>
  <c r="AB66" i="2"/>
  <c r="AB65" i="2"/>
  <c r="AB64" i="2"/>
  <c r="AB63" i="2"/>
  <c r="AB62" i="2"/>
  <c r="AB61" i="2"/>
  <c r="AB60" i="2"/>
  <c r="AB59" i="2"/>
  <c r="AB58" i="2"/>
  <c r="AB57" i="2"/>
  <c r="AB56" i="2"/>
  <c r="AB55" i="2"/>
  <c r="AB54" i="2"/>
  <c r="AB53" i="2"/>
  <c r="AB52" i="2"/>
  <c r="AB51" i="2"/>
  <c r="AB50" i="2"/>
  <c r="AB49" i="2"/>
  <c r="AB48" i="2"/>
  <c r="AB47" i="2"/>
  <c r="AB46" i="2"/>
  <c r="AB45" i="2"/>
  <c r="AB44" i="2"/>
  <c r="AB43" i="2"/>
  <c r="AB42" i="2"/>
  <c r="AB41" i="2"/>
  <c r="AB40" i="2"/>
  <c r="AB39" i="2"/>
  <c r="AB38" i="2"/>
  <c r="AB37" i="2"/>
  <c r="AB36" i="2"/>
  <c r="AB35" i="2"/>
  <c r="AB34" i="2"/>
  <c r="AB33" i="2"/>
  <c r="AB32" i="2"/>
  <c r="AB31" i="2"/>
  <c r="AB30" i="2"/>
  <c r="AB29" i="2"/>
  <c r="AB28" i="2"/>
  <c r="AB27" i="2"/>
  <c r="AB26" i="2"/>
  <c r="AB25" i="2"/>
  <c r="AB24" i="2"/>
  <c r="AB23" i="2"/>
  <c r="AB22" i="2"/>
  <c r="AB21" i="2"/>
  <c r="AB20" i="2"/>
  <c r="AB19" i="2"/>
  <c r="AB18" i="2"/>
  <c r="AB17" i="2"/>
  <c r="AB16" i="2"/>
  <c r="AB15" i="2"/>
  <c r="AB14" i="2"/>
  <c r="AB13" i="2"/>
  <c r="AB12" i="2"/>
  <c r="AB11" i="2"/>
  <c r="AB10" i="2"/>
  <c r="AB9" i="2"/>
  <c r="AB8" i="2"/>
  <c r="AB7" i="2"/>
  <c r="AB6" i="2"/>
  <c r="AB5" i="2"/>
  <c r="AB4" i="2"/>
  <c r="AB3" i="2"/>
  <c r="Z354" i="2"/>
  <c r="M111" i="2"/>
  <c r="L111" i="2"/>
  <c r="K111" i="2"/>
  <c r="M109" i="2"/>
  <c r="K109" i="2"/>
  <c r="H108" i="2"/>
  <c r="M107" i="2"/>
  <c r="L107" i="2"/>
  <c r="K107" i="2"/>
  <c r="M110" i="2"/>
  <c r="L110" i="2"/>
  <c r="K110" i="2"/>
  <c r="J110" i="2"/>
  <c r="H106" i="2"/>
  <c r="M104" i="2"/>
  <c r="H104" i="2" s="1"/>
  <c r="G871" i="1" s="1"/>
  <c r="M103" i="2"/>
  <c r="L103" i="2"/>
  <c r="K103" i="2"/>
  <c r="M102" i="2"/>
  <c r="L102" i="2"/>
  <c r="K102" i="2"/>
  <c r="M101" i="2"/>
  <c r="M100" i="2"/>
  <c r="H99" i="2"/>
  <c r="M98" i="2"/>
  <c r="L98" i="2"/>
  <c r="K98" i="2"/>
  <c r="M97" i="2"/>
  <c r="L97" i="2"/>
  <c r="K97" i="2"/>
  <c r="M96" i="2"/>
  <c r="L96" i="2"/>
  <c r="K96" i="2"/>
  <c r="M95" i="2"/>
  <c r="L95" i="2"/>
  <c r="K95" i="2"/>
  <c r="H94" i="2"/>
  <c r="I105" i="2"/>
  <c r="H105" i="2"/>
  <c r="I93" i="2"/>
  <c r="H93" i="2"/>
  <c r="M92" i="2"/>
  <c r="L92" i="2"/>
  <c r="K92" i="2"/>
  <c r="M91" i="2"/>
  <c r="L91" i="2"/>
  <c r="K91" i="2"/>
  <c r="M89" i="2"/>
  <c r="L89" i="2"/>
  <c r="K89" i="2"/>
  <c r="H90" i="2"/>
  <c r="H88" i="2"/>
  <c r="H86" i="2"/>
  <c r="M85" i="2"/>
  <c r="L85" i="2"/>
  <c r="K85" i="2"/>
  <c r="M84" i="2"/>
  <c r="L84" i="2"/>
  <c r="K84" i="2"/>
  <c r="M83" i="2"/>
  <c r="L83" i="2"/>
  <c r="K83" i="2"/>
  <c r="M82" i="2"/>
  <c r="L82" i="2"/>
  <c r="K82" i="2"/>
  <c r="M81" i="2"/>
  <c r="L81" i="2"/>
  <c r="K81" i="2"/>
  <c r="M80" i="2"/>
  <c r="L80" i="2"/>
  <c r="K80" i="2"/>
  <c r="M79" i="2"/>
  <c r="L79" i="2"/>
  <c r="K79" i="2"/>
  <c r="M78" i="2"/>
  <c r="L78" i="2"/>
  <c r="K78" i="2"/>
  <c r="M77" i="2"/>
  <c r="L77" i="2"/>
  <c r="K77" i="2"/>
  <c r="M76" i="2"/>
  <c r="L76" i="2"/>
  <c r="J76" i="2"/>
  <c r="K76" i="2"/>
  <c r="I75" i="2"/>
  <c r="M68" i="2"/>
  <c r="L68" i="2"/>
  <c r="K68" i="2"/>
  <c r="J63" i="2"/>
  <c r="M63" i="2"/>
  <c r="L63" i="2"/>
  <c r="K63" i="2"/>
  <c r="M74" i="2"/>
  <c r="L74" i="2"/>
  <c r="K74" i="2"/>
  <c r="M73" i="2"/>
  <c r="M72" i="2"/>
  <c r="H70" i="2"/>
  <c r="H71" i="2"/>
  <c r="H69" i="2"/>
  <c r="M67" i="2"/>
  <c r="L67" i="2"/>
  <c r="K67" i="2"/>
  <c r="H66" i="2"/>
  <c r="H65" i="2"/>
  <c r="M64" i="2"/>
  <c r="L64" i="2"/>
  <c r="K64" i="2"/>
  <c r="M62" i="2"/>
  <c r="L62" i="2"/>
  <c r="J62" i="2"/>
  <c r="K62" i="2"/>
  <c r="I61" i="2"/>
  <c r="H61" i="2"/>
  <c r="H60" i="2"/>
  <c r="M58" i="2"/>
  <c r="L58" i="2"/>
  <c r="K58" i="2"/>
  <c r="J49" i="2"/>
  <c r="M59" i="2"/>
  <c r="L59" i="2"/>
  <c r="K59" i="2"/>
  <c r="M57" i="2"/>
  <c r="L57" i="2"/>
  <c r="K57" i="2"/>
  <c r="M56" i="2"/>
  <c r="L56" i="2"/>
  <c r="K56" i="2"/>
  <c r="I52" i="2"/>
  <c r="M55" i="2"/>
  <c r="M53" i="2"/>
  <c r="L53" i="2"/>
  <c r="K53" i="2"/>
  <c r="H54" i="2"/>
  <c r="H52" i="2"/>
  <c r="M51" i="2"/>
  <c r="L51" i="2"/>
  <c r="K51" i="2"/>
  <c r="M50" i="2"/>
  <c r="L50" i="2"/>
  <c r="K50" i="2"/>
  <c r="M49" i="2"/>
  <c r="L49" i="2"/>
  <c r="M48" i="2"/>
  <c r="M47" i="2"/>
  <c r="L47" i="2"/>
  <c r="K47" i="2"/>
  <c r="M45" i="2"/>
  <c r="L45" i="2"/>
  <c r="K45" i="2"/>
  <c r="H44" i="2"/>
  <c r="M43" i="2"/>
  <c r="L43" i="2"/>
  <c r="K43" i="2"/>
  <c r="H42" i="2"/>
  <c r="M41" i="2"/>
  <c r="L41" i="2"/>
  <c r="K41" i="2"/>
  <c r="H40" i="2"/>
  <c r="M39" i="2"/>
  <c r="L39" i="2"/>
  <c r="K39" i="2"/>
  <c r="M38" i="2"/>
  <c r="L38" i="2"/>
  <c r="K38" i="2"/>
  <c r="M37" i="2"/>
  <c r="L37" i="2"/>
  <c r="K37" i="2"/>
  <c r="J37" i="2"/>
  <c r="M36" i="2"/>
  <c r="L36" i="2"/>
  <c r="K36" i="2"/>
  <c r="M33" i="2"/>
  <c r="L33" i="2"/>
  <c r="K33" i="2"/>
  <c r="M35" i="2"/>
  <c r="L35" i="2"/>
  <c r="K35" i="2"/>
  <c r="M34" i="2"/>
  <c r="L34" i="2"/>
  <c r="K34" i="2"/>
  <c r="M32" i="2"/>
  <c r="L32" i="2"/>
  <c r="K32" i="2"/>
  <c r="M31" i="2"/>
  <c r="L31" i="2"/>
  <c r="K31" i="2"/>
  <c r="M30" i="2"/>
  <c r="L30" i="2"/>
  <c r="K30" i="2"/>
  <c r="M29" i="2"/>
  <c r="L29" i="2"/>
  <c r="K29" i="2"/>
  <c r="H28" i="2"/>
  <c r="H27" i="2"/>
  <c r="H26" i="2"/>
  <c r="H25" i="2"/>
  <c r="M23" i="2"/>
  <c r="L23" i="2"/>
  <c r="K23" i="2"/>
  <c r="H24" i="2"/>
  <c r="M22" i="2"/>
  <c r="L22" i="2"/>
  <c r="K22" i="2"/>
  <c r="M21" i="2"/>
  <c r="L21" i="2"/>
  <c r="K21" i="2"/>
  <c r="H20" i="2"/>
  <c r="H19" i="2"/>
  <c r="H18" i="2"/>
  <c r="H17" i="2"/>
  <c r="M16" i="2"/>
  <c r="L16" i="2"/>
  <c r="K16" i="2"/>
  <c r="M15" i="2"/>
  <c r="L15" i="2"/>
  <c r="K15" i="2"/>
  <c r="I13" i="2"/>
  <c r="H13" i="2"/>
  <c r="M14" i="2"/>
  <c r="L14" i="2"/>
  <c r="K14" i="2"/>
  <c r="M12" i="2"/>
  <c r="L12" i="2"/>
  <c r="K12" i="2"/>
  <c r="H11" i="2"/>
  <c r="M10" i="2"/>
  <c r="L10" i="2"/>
  <c r="K10" i="2"/>
  <c r="M9" i="2"/>
  <c r="L9" i="2"/>
  <c r="K9" i="2"/>
  <c r="M8" i="2"/>
  <c r="K8" i="2"/>
  <c r="L8" i="2"/>
  <c r="I7" i="2"/>
  <c r="H7" i="2"/>
  <c r="M6" i="2"/>
  <c r="L6" i="2"/>
  <c r="K6" i="2"/>
  <c r="M5" i="2"/>
  <c r="L5" i="2"/>
  <c r="K5" i="2"/>
  <c r="M4" i="2"/>
  <c r="L4" i="2"/>
  <c r="K4" i="2"/>
  <c r="M3" i="2"/>
  <c r="L3" i="2"/>
  <c r="K3" i="2"/>
  <c r="T354" i="2"/>
  <c r="V354" i="2"/>
  <c r="M353" i="2"/>
  <c r="L353" i="2"/>
  <c r="K353" i="2"/>
  <c r="J353" i="2"/>
  <c r="I353" i="2"/>
  <c r="F353" i="2"/>
  <c r="J352" i="2"/>
  <c r="F352" i="2"/>
  <c r="J351" i="2"/>
  <c r="F351" i="2"/>
  <c r="J350" i="2"/>
  <c r="F350" i="2"/>
  <c r="J349" i="2"/>
  <c r="F349" i="2"/>
  <c r="J348" i="2"/>
  <c r="H348" i="2"/>
  <c r="F348" i="2"/>
  <c r="J347" i="2"/>
  <c r="F347" i="2"/>
  <c r="J346" i="2"/>
  <c r="Q346" i="2" s="1"/>
  <c r="F346" i="2"/>
  <c r="M345" i="2"/>
  <c r="L345" i="2"/>
  <c r="K345" i="2"/>
  <c r="J345" i="2"/>
  <c r="H345" i="2"/>
  <c r="F345" i="2"/>
  <c r="J344" i="2"/>
  <c r="F344" i="2"/>
  <c r="J343" i="2"/>
  <c r="F343" i="2"/>
  <c r="J342" i="2"/>
  <c r="F342" i="2"/>
  <c r="J341" i="2"/>
  <c r="F341" i="2"/>
  <c r="J340" i="2"/>
  <c r="Q340" i="2" s="1"/>
  <c r="F340" i="2"/>
  <c r="J339" i="2"/>
  <c r="F339" i="2"/>
  <c r="J338" i="2"/>
  <c r="F338" i="2"/>
  <c r="F337" i="2"/>
  <c r="J336" i="2"/>
  <c r="Q336" i="2" s="1"/>
  <c r="F336" i="2"/>
  <c r="M335" i="2"/>
  <c r="L335" i="2"/>
  <c r="K335" i="2"/>
  <c r="J335" i="2"/>
  <c r="H335" i="2"/>
  <c r="F335" i="2"/>
  <c r="F334" i="2"/>
  <c r="L333" i="2"/>
  <c r="J333" i="2"/>
  <c r="F333" i="2"/>
  <c r="J332" i="2"/>
  <c r="F332" i="2"/>
  <c r="J331" i="2"/>
  <c r="F331" i="2"/>
  <c r="M330" i="2"/>
  <c r="L330" i="2"/>
  <c r="K330" i="2"/>
  <c r="J330" i="2"/>
  <c r="F330" i="2"/>
  <c r="M329" i="2"/>
  <c r="L329" i="2"/>
  <c r="K329" i="2"/>
  <c r="J329" i="2"/>
  <c r="F329" i="2"/>
  <c r="J328" i="2"/>
  <c r="Q328" i="2" s="1"/>
  <c r="F328" i="2"/>
  <c r="J327" i="2"/>
  <c r="F327" i="2"/>
  <c r="J326" i="2"/>
  <c r="F326" i="2"/>
  <c r="J325" i="2"/>
  <c r="F325" i="2"/>
  <c r="J324" i="2"/>
  <c r="F324" i="2"/>
  <c r="J323" i="2"/>
  <c r="F323" i="2"/>
  <c r="J322" i="2"/>
  <c r="F322" i="2"/>
  <c r="J321" i="2"/>
  <c r="F321" i="2"/>
  <c r="J320" i="2"/>
  <c r="F320" i="2"/>
  <c r="F319" i="2"/>
  <c r="J318" i="2"/>
  <c r="F318" i="2"/>
  <c r="J317" i="2"/>
  <c r="Q317" i="2" s="1"/>
  <c r="F317" i="2"/>
  <c r="M316" i="2"/>
  <c r="L316" i="2"/>
  <c r="K316" i="2"/>
  <c r="J316" i="2"/>
  <c r="F316" i="2"/>
  <c r="F315" i="2"/>
  <c r="M314" i="2"/>
  <c r="L314" i="2"/>
  <c r="K314" i="2"/>
  <c r="J314" i="2"/>
  <c r="F314" i="2"/>
  <c r="J313" i="2"/>
  <c r="F313" i="2"/>
  <c r="J312" i="2"/>
  <c r="F312" i="2"/>
  <c r="M311" i="2"/>
  <c r="L311" i="2"/>
  <c r="K311" i="2"/>
  <c r="J311" i="2"/>
  <c r="F311" i="2"/>
  <c r="M310" i="2"/>
  <c r="L310" i="2"/>
  <c r="K310" i="2"/>
  <c r="J310" i="2"/>
  <c r="F310" i="2"/>
  <c r="J309" i="2"/>
  <c r="F309" i="2"/>
  <c r="J308" i="2"/>
  <c r="Q308" i="2" s="1"/>
  <c r="F308" i="2"/>
  <c r="J307" i="2"/>
  <c r="F307" i="2"/>
  <c r="J306" i="2"/>
  <c r="F306" i="2"/>
  <c r="J305" i="2"/>
  <c r="F305" i="2"/>
  <c r="J304" i="2"/>
  <c r="F304" i="2"/>
  <c r="J303" i="2"/>
  <c r="H303" i="2"/>
  <c r="F303" i="2"/>
  <c r="J302" i="2"/>
  <c r="F302" i="2"/>
  <c r="Q301" i="2"/>
  <c r="F301" i="2"/>
  <c r="M300" i="2"/>
  <c r="L300" i="2"/>
  <c r="K300" i="2"/>
  <c r="J300" i="2"/>
  <c r="F300" i="2"/>
  <c r="F299" i="2"/>
  <c r="J298" i="2"/>
  <c r="F298" i="2"/>
  <c r="J297" i="2"/>
  <c r="Q297" i="2" s="1"/>
  <c r="F297" i="2"/>
  <c r="F296" i="2"/>
  <c r="J295" i="2"/>
  <c r="F295" i="2"/>
  <c r="J294" i="2"/>
  <c r="F294" i="2"/>
  <c r="J293" i="2"/>
  <c r="F293" i="2"/>
  <c r="F292" i="2"/>
  <c r="J291" i="2"/>
  <c r="F291" i="2"/>
  <c r="J290" i="2"/>
  <c r="F290" i="2"/>
  <c r="J289" i="2"/>
  <c r="F289" i="2"/>
  <c r="J288" i="2"/>
  <c r="F288" i="2"/>
  <c r="J287" i="2"/>
  <c r="H287" i="2"/>
  <c r="F287" i="2"/>
  <c r="J286" i="2"/>
  <c r="F286" i="2"/>
  <c r="J285" i="2"/>
  <c r="F285" i="2"/>
  <c r="J284" i="2"/>
  <c r="Q284" i="2" s="1"/>
  <c r="F284" i="2"/>
  <c r="J283" i="2"/>
  <c r="F283" i="2"/>
  <c r="J282" i="2"/>
  <c r="Q282" i="2" s="1"/>
  <c r="F282" i="2"/>
  <c r="J281" i="2"/>
  <c r="F281" i="2"/>
  <c r="J280" i="2"/>
  <c r="F280" i="2"/>
  <c r="J279" i="2"/>
  <c r="F279" i="2"/>
  <c r="J278" i="2"/>
  <c r="F278" i="2"/>
  <c r="J277" i="2"/>
  <c r="F277" i="2"/>
  <c r="J276" i="2"/>
  <c r="F276" i="2"/>
  <c r="J275" i="2"/>
  <c r="F275" i="2"/>
  <c r="J274" i="2"/>
  <c r="F274" i="2"/>
  <c r="J273" i="2"/>
  <c r="F273" i="2"/>
  <c r="J272" i="2"/>
  <c r="F272" i="2"/>
  <c r="J271" i="2"/>
  <c r="F271" i="2"/>
  <c r="J270" i="2"/>
  <c r="F270" i="2"/>
  <c r="J269" i="2"/>
  <c r="F269" i="2"/>
  <c r="J268" i="2"/>
  <c r="F268" i="2"/>
  <c r="J267" i="2"/>
  <c r="F267" i="2"/>
  <c r="J266" i="2"/>
  <c r="F266" i="2"/>
  <c r="J265" i="2"/>
  <c r="F265" i="2"/>
  <c r="J264" i="2"/>
  <c r="F264" i="2"/>
  <c r="J263" i="2"/>
  <c r="F263" i="2"/>
  <c r="J262" i="2"/>
  <c r="F262" i="2"/>
  <c r="J261" i="2"/>
  <c r="F261" i="2"/>
  <c r="J260" i="2"/>
  <c r="F260" i="2"/>
  <c r="J259" i="2"/>
  <c r="F259" i="2"/>
  <c r="H258" i="2"/>
  <c r="F258" i="2"/>
  <c r="J257" i="2"/>
  <c r="F257" i="2"/>
  <c r="J256" i="2"/>
  <c r="Q256" i="2" s="1"/>
  <c r="F256" i="2"/>
  <c r="J255" i="2"/>
  <c r="F255" i="2"/>
  <c r="J254" i="2"/>
  <c r="F254" i="2"/>
  <c r="J253" i="2"/>
  <c r="F253" i="2"/>
  <c r="J252" i="2"/>
  <c r="F252" i="2"/>
  <c r="J251" i="2"/>
  <c r="F251" i="2"/>
  <c r="J250" i="2"/>
  <c r="F250" i="2"/>
  <c r="J249" i="2"/>
  <c r="F249" i="2"/>
  <c r="J248" i="2"/>
  <c r="F248" i="2"/>
  <c r="J247" i="2"/>
  <c r="H247" i="2"/>
  <c r="F247" i="2"/>
  <c r="J246" i="2"/>
  <c r="F246" i="2"/>
  <c r="J245" i="2"/>
  <c r="F245" i="2"/>
  <c r="J244" i="2"/>
  <c r="F244" i="2"/>
  <c r="J243" i="2"/>
  <c r="F243" i="2"/>
  <c r="J242" i="2"/>
  <c r="F242" i="2"/>
  <c r="J241" i="2"/>
  <c r="F241" i="2"/>
  <c r="J240" i="2"/>
  <c r="F240" i="2"/>
  <c r="J239" i="2"/>
  <c r="F239" i="2"/>
  <c r="J238" i="2"/>
  <c r="F238" i="2"/>
  <c r="J237" i="2"/>
  <c r="F237" i="2"/>
  <c r="J236" i="2"/>
  <c r="F236" i="2"/>
  <c r="J235" i="2"/>
  <c r="F235" i="2"/>
  <c r="J234" i="2"/>
  <c r="F234" i="2"/>
  <c r="M233" i="2"/>
  <c r="L233" i="2"/>
  <c r="K233" i="2"/>
  <c r="J233" i="2"/>
  <c r="F233" i="2"/>
  <c r="M232" i="2"/>
  <c r="L232" i="2"/>
  <c r="K232" i="2"/>
  <c r="J232" i="2"/>
  <c r="F232" i="2"/>
  <c r="L231" i="2"/>
  <c r="J231" i="2"/>
  <c r="F231" i="2"/>
  <c r="J230" i="2"/>
  <c r="F230" i="2"/>
  <c r="J229" i="2"/>
  <c r="F229" i="2"/>
  <c r="J228" i="2"/>
  <c r="F228" i="2"/>
  <c r="M227" i="2"/>
  <c r="L227" i="2"/>
  <c r="K227" i="2"/>
  <c r="J227" i="2"/>
  <c r="F227" i="2"/>
  <c r="J226" i="2"/>
  <c r="F226" i="2"/>
  <c r="J225" i="2"/>
  <c r="F225" i="2"/>
  <c r="J224" i="2"/>
  <c r="F224" i="2"/>
  <c r="J223" i="2"/>
  <c r="F223" i="2"/>
  <c r="J222" i="2"/>
  <c r="F222" i="2"/>
  <c r="J221" i="2"/>
  <c r="F221" i="2"/>
  <c r="J220" i="2"/>
  <c r="F220" i="2"/>
  <c r="J219" i="2"/>
  <c r="F219" i="2"/>
  <c r="J218" i="2"/>
  <c r="F218" i="2"/>
  <c r="F217" i="2"/>
  <c r="J216" i="2"/>
  <c r="F216" i="2"/>
  <c r="J215" i="2"/>
  <c r="F215" i="2"/>
  <c r="J214" i="2"/>
  <c r="F214" i="2"/>
  <c r="J213" i="2"/>
  <c r="F213" i="2"/>
  <c r="J212" i="2"/>
  <c r="F212" i="2"/>
  <c r="M211" i="2"/>
  <c r="L211" i="2"/>
  <c r="K211" i="2"/>
  <c r="J211" i="2"/>
  <c r="F211" i="2"/>
  <c r="J210" i="2"/>
  <c r="F210" i="2"/>
  <c r="J209" i="2"/>
  <c r="F209" i="2"/>
  <c r="M208" i="2"/>
  <c r="L208" i="2"/>
  <c r="K208" i="2"/>
  <c r="J208" i="2"/>
  <c r="F208" i="2"/>
  <c r="J207" i="2"/>
  <c r="F207" i="2"/>
  <c r="M206" i="2"/>
  <c r="L206" i="2"/>
  <c r="K206" i="2"/>
  <c r="J206" i="2"/>
  <c r="H206" i="2"/>
  <c r="F206" i="2"/>
  <c r="J205" i="2"/>
  <c r="F205" i="2"/>
  <c r="H204" i="2"/>
  <c r="F204" i="2"/>
  <c r="J203" i="2"/>
  <c r="F203" i="2"/>
  <c r="J202" i="2"/>
  <c r="F202" i="2"/>
  <c r="J201" i="2"/>
  <c r="F201" i="2"/>
  <c r="J200" i="2"/>
  <c r="F200" i="2"/>
  <c r="J199" i="2"/>
  <c r="F199" i="2"/>
  <c r="J198" i="2"/>
  <c r="F198" i="2"/>
  <c r="J197" i="2"/>
  <c r="F197" i="2"/>
  <c r="J196" i="2"/>
  <c r="F196" i="2"/>
  <c r="J195" i="2"/>
  <c r="F195" i="2"/>
  <c r="J194" i="2"/>
  <c r="F194" i="2"/>
  <c r="J193" i="2"/>
  <c r="F193" i="2"/>
  <c r="J192" i="2"/>
  <c r="F192" i="2"/>
  <c r="J191" i="2"/>
  <c r="F191" i="2"/>
  <c r="J190" i="2"/>
  <c r="F190" i="2"/>
  <c r="J189" i="2"/>
  <c r="F189" i="2"/>
  <c r="F188" i="2"/>
  <c r="J187" i="2"/>
  <c r="F187" i="2"/>
  <c r="J186" i="2"/>
  <c r="F186" i="2"/>
  <c r="F185" i="2"/>
  <c r="J184" i="2"/>
  <c r="F184" i="2"/>
  <c r="J183" i="2"/>
  <c r="F183" i="2"/>
  <c r="J182" i="2"/>
  <c r="F182" i="2"/>
  <c r="J181" i="2"/>
  <c r="F181" i="2"/>
  <c r="J180" i="2"/>
  <c r="F180" i="2"/>
  <c r="J179" i="2"/>
  <c r="F179" i="2"/>
  <c r="J178" i="2"/>
  <c r="F178" i="2"/>
  <c r="J177" i="2"/>
  <c r="F177" i="2"/>
  <c r="J176" i="2"/>
  <c r="F176" i="2"/>
  <c r="J175" i="2"/>
  <c r="F175" i="2"/>
  <c r="J174" i="2"/>
  <c r="F174" i="2"/>
  <c r="F173" i="2"/>
  <c r="J172" i="2"/>
  <c r="F172" i="2"/>
  <c r="J171" i="2"/>
  <c r="F171" i="2"/>
  <c r="J170" i="2"/>
  <c r="F170" i="2"/>
  <c r="J169" i="2"/>
  <c r="F169" i="2"/>
  <c r="J168" i="2"/>
  <c r="F168" i="2"/>
  <c r="F167" i="2"/>
  <c r="J166" i="2"/>
  <c r="F166" i="2"/>
  <c r="J165" i="2"/>
  <c r="F165" i="2"/>
  <c r="J164" i="2"/>
  <c r="F164" i="2"/>
  <c r="J163" i="2"/>
  <c r="F163" i="2"/>
  <c r="J162" i="2"/>
  <c r="F162" i="2"/>
  <c r="J161" i="2"/>
  <c r="F161" i="2"/>
  <c r="J160" i="2"/>
  <c r="F160" i="2"/>
  <c r="J159" i="2"/>
  <c r="F159" i="2"/>
  <c r="J158" i="2"/>
  <c r="F158" i="2"/>
  <c r="J157" i="2"/>
  <c r="F157" i="2"/>
  <c r="J156" i="2"/>
  <c r="F156" i="2"/>
  <c r="F155" i="2"/>
  <c r="J154" i="2"/>
  <c r="F154" i="2"/>
  <c r="J153" i="2"/>
  <c r="F153" i="2"/>
  <c r="J152" i="2"/>
  <c r="F152" i="2"/>
  <c r="J151" i="2"/>
  <c r="F151" i="2"/>
  <c r="J150" i="2"/>
  <c r="F150" i="2"/>
  <c r="M149" i="2"/>
  <c r="L149" i="2"/>
  <c r="K149" i="2"/>
  <c r="J149" i="2"/>
  <c r="F149" i="2"/>
  <c r="J148" i="2"/>
  <c r="F148" i="2"/>
  <c r="M147" i="2"/>
  <c r="L147" i="2"/>
  <c r="K147" i="2"/>
  <c r="J147" i="2"/>
  <c r="F147" i="2"/>
  <c r="M146" i="2"/>
  <c r="L146" i="2"/>
  <c r="K146" i="2"/>
  <c r="J146" i="2"/>
  <c r="F146" i="2"/>
  <c r="J145" i="2"/>
  <c r="F145" i="2"/>
  <c r="J144" i="2"/>
  <c r="F144" i="2"/>
  <c r="J143" i="2"/>
  <c r="F143" i="2"/>
  <c r="J142" i="2"/>
  <c r="F142" i="2"/>
  <c r="J141" i="2"/>
  <c r="F141" i="2"/>
  <c r="J140" i="2"/>
  <c r="F140" i="2"/>
  <c r="M139" i="2"/>
  <c r="L139" i="2"/>
  <c r="K139" i="2"/>
  <c r="J139" i="2"/>
  <c r="F139" i="2"/>
  <c r="M138" i="2"/>
  <c r="L138" i="2"/>
  <c r="K138" i="2"/>
  <c r="J138" i="2"/>
  <c r="F138" i="2"/>
  <c r="J137" i="2"/>
  <c r="F137" i="2"/>
  <c r="J136" i="2"/>
  <c r="F136" i="2"/>
  <c r="J135" i="2"/>
  <c r="F135" i="2"/>
  <c r="J134" i="2"/>
  <c r="F134" i="2"/>
  <c r="M133" i="2"/>
  <c r="F133" i="2"/>
  <c r="J132" i="2"/>
  <c r="H132" i="2"/>
  <c r="F132" i="2"/>
  <c r="J131" i="2"/>
  <c r="F131" i="2"/>
  <c r="J130" i="2"/>
  <c r="F130" i="2"/>
  <c r="J129" i="2"/>
  <c r="F129" i="2"/>
  <c r="J128" i="2"/>
  <c r="F128" i="2"/>
  <c r="J127" i="2"/>
  <c r="F127" i="2"/>
  <c r="J126" i="2"/>
  <c r="F126" i="2"/>
  <c r="J125" i="2"/>
  <c r="F125" i="2"/>
  <c r="L124" i="2"/>
  <c r="J124" i="2"/>
  <c r="H124" i="2"/>
  <c r="F124" i="2"/>
  <c r="M123" i="2"/>
  <c r="L123" i="2"/>
  <c r="K123" i="2"/>
  <c r="J123" i="2"/>
  <c r="F123" i="2"/>
  <c r="J122" i="2"/>
  <c r="F122" i="2"/>
  <c r="F121" i="2"/>
  <c r="J120" i="2"/>
  <c r="F120" i="2"/>
  <c r="J119" i="2"/>
  <c r="F119" i="2"/>
  <c r="M118" i="2"/>
  <c r="L118" i="2"/>
  <c r="K118" i="2"/>
  <c r="J118" i="2"/>
  <c r="F118" i="2"/>
  <c r="J117" i="2"/>
  <c r="F117" i="2"/>
  <c r="J116" i="2"/>
  <c r="F116" i="2"/>
  <c r="J115" i="2"/>
  <c r="F115" i="2"/>
  <c r="J114" i="2"/>
  <c r="F114" i="2"/>
  <c r="J113" i="2"/>
  <c r="F113" i="2"/>
  <c r="J112" i="2"/>
  <c r="F112" i="2"/>
  <c r="J111" i="2"/>
  <c r="F111" i="2"/>
  <c r="F110" i="2"/>
  <c r="L109" i="2"/>
  <c r="J109" i="2"/>
  <c r="F109" i="2"/>
  <c r="M108" i="2"/>
  <c r="L108" i="2"/>
  <c r="K108" i="2"/>
  <c r="J108" i="2"/>
  <c r="F108" i="2"/>
  <c r="J107" i="2"/>
  <c r="F107" i="2"/>
  <c r="M106" i="2"/>
  <c r="L106" i="2"/>
  <c r="K106" i="2"/>
  <c r="J106" i="2"/>
  <c r="F106" i="2"/>
  <c r="M105" i="2"/>
  <c r="L105" i="2"/>
  <c r="K105" i="2"/>
  <c r="J105" i="2"/>
  <c r="F105" i="2"/>
  <c r="J104" i="2"/>
  <c r="F104" i="2"/>
  <c r="J103" i="2"/>
  <c r="F103" i="2"/>
  <c r="J102" i="2"/>
  <c r="F102" i="2"/>
  <c r="J101" i="2"/>
  <c r="F101" i="2"/>
  <c r="J100" i="2"/>
  <c r="F100" i="2"/>
  <c r="M99" i="2"/>
  <c r="L99" i="2"/>
  <c r="K99" i="2"/>
  <c r="J99" i="2"/>
  <c r="F99" i="2"/>
  <c r="J98" i="2"/>
  <c r="F98" i="2"/>
  <c r="J97" i="2"/>
  <c r="F97" i="2"/>
  <c r="J96" i="2"/>
  <c r="F96" i="2"/>
  <c r="J95" i="2"/>
  <c r="F95" i="2"/>
  <c r="M94" i="2"/>
  <c r="L94" i="2"/>
  <c r="K94" i="2"/>
  <c r="J94" i="2"/>
  <c r="F94" i="2"/>
  <c r="M93" i="2"/>
  <c r="L93" i="2"/>
  <c r="K93" i="2"/>
  <c r="J93" i="2"/>
  <c r="F93" i="2"/>
  <c r="J92" i="2"/>
  <c r="F92" i="2"/>
  <c r="J91" i="2"/>
  <c r="F91" i="2"/>
  <c r="M90" i="2"/>
  <c r="L90" i="2"/>
  <c r="K90" i="2"/>
  <c r="J90" i="2"/>
  <c r="F90" i="2"/>
  <c r="J89" i="2"/>
  <c r="F89" i="2"/>
  <c r="M88" i="2"/>
  <c r="L88" i="2"/>
  <c r="K88" i="2"/>
  <c r="J88" i="2"/>
  <c r="F88" i="2"/>
  <c r="M87" i="2"/>
  <c r="L87" i="2"/>
  <c r="K87" i="2"/>
  <c r="J87" i="2"/>
  <c r="F87" i="2"/>
  <c r="M86" i="2"/>
  <c r="L86" i="2"/>
  <c r="K86" i="2"/>
  <c r="J86" i="2"/>
  <c r="F86" i="2"/>
  <c r="J85" i="2"/>
  <c r="F85" i="2"/>
  <c r="J84" i="2"/>
  <c r="F84" i="2"/>
  <c r="J83" i="2"/>
  <c r="F83" i="2"/>
  <c r="J82" i="2"/>
  <c r="F82" i="2"/>
  <c r="J81" i="2"/>
  <c r="F81" i="2"/>
  <c r="J80" i="2"/>
  <c r="F80" i="2"/>
  <c r="J79" i="2"/>
  <c r="F79" i="2"/>
  <c r="J78" i="2"/>
  <c r="F78" i="2"/>
  <c r="J77" i="2"/>
  <c r="F77" i="2"/>
  <c r="F76" i="2"/>
  <c r="M75" i="2"/>
  <c r="L75" i="2"/>
  <c r="K75" i="2"/>
  <c r="J75" i="2"/>
  <c r="F75" i="2"/>
  <c r="J74" i="2"/>
  <c r="F74" i="2"/>
  <c r="J73" i="2"/>
  <c r="F73" i="2"/>
  <c r="J72" i="2"/>
  <c r="F72" i="2"/>
  <c r="M71" i="2"/>
  <c r="L71" i="2"/>
  <c r="K71" i="2"/>
  <c r="J71" i="2"/>
  <c r="F71" i="2"/>
  <c r="M70" i="2"/>
  <c r="L70" i="2"/>
  <c r="K70" i="2"/>
  <c r="J70" i="2"/>
  <c r="F70" i="2"/>
  <c r="M69" i="2"/>
  <c r="L69" i="2"/>
  <c r="K69" i="2"/>
  <c r="J69" i="2"/>
  <c r="F69" i="2"/>
  <c r="J68" i="2"/>
  <c r="F68" i="2"/>
  <c r="J67" i="2"/>
  <c r="F67" i="2"/>
  <c r="M66" i="2"/>
  <c r="L66" i="2"/>
  <c r="K66" i="2"/>
  <c r="J66" i="2"/>
  <c r="F66" i="2"/>
  <c r="M65" i="2"/>
  <c r="L65" i="2"/>
  <c r="K65" i="2"/>
  <c r="J65" i="2"/>
  <c r="F65" i="2"/>
  <c r="J64" i="2"/>
  <c r="F64" i="2"/>
  <c r="F63" i="2"/>
  <c r="F62" i="2"/>
  <c r="J61" i="2"/>
  <c r="F61" i="2"/>
  <c r="M60" i="2"/>
  <c r="L60" i="2"/>
  <c r="K60" i="2"/>
  <c r="J60" i="2"/>
  <c r="F60" i="2"/>
  <c r="J59" i="2"/>
  <c r="F59" i="2"/>
  <c r="J58" i="2"/>
  <c r="F58" i="2"/>
  <c r="J57" i="2"/>
  <c r="F57" i="2"/>
  <c r="J56" i="2"/>
  <c r="F56" i="2"/>
  <c r="J55" i="2"/>
  <c r="F55" i="2"/>
  <c r="M54" i="2"/>
  <c r="L54" i="2"/>
  <c r="K54" i="2"/>
  <c r="J54" i="2"/>
  <c r="F54" i="2"/>
  <c r="J53" i="2"/>
  <c r="F53" i="2"/>
  <c r="M52" i="2"/>
  <c r="L52" i="2"/>
  <c r="K52" i="2"/>
  <c r="J52" i="2"/>
  <c r="F52" i="2"/>
  <c r="J51" i="2"/>
  <c r="F51" i="2"/>
  <c r="J50" i="2"/>
  <c r="F50" i="2"/>
  <c r="F49" i="2"/>
  <c r="J48" i="2"/>
  <c r="F48" i="2"/>
  <c r="J47" i="2"/>
  <c r="F47" i="2"/>
  <c r="M46" i="2"/>
  <c r="L46" i="2"/>
  <c r="K46" i="2"/>
  <c r="J46" i="2"/>
  <c r="H46" i="2"/>
  <c r="F46" i="2"/>
  <c r="J45" i="2"/>
  <c r="F45" i="2"/>
  <c r="M44" i="2"/>
  <c r="L44" i="2"/>
  <c r="K44" i="2"/>
  <c r="J44" i="2"/>
  <c r="F44" i="2"/>
  <c r="J43" i="2"/>
  <c r="F43" i="2"/>
  <c r="M42" i="2"/>
  <c r="L42" i="2"/>
  <c r="K42" i="2"/>
  <c r="J42" i="2"/>
  <c r="F42" i="2"/>
  <c r="J41" i="2"/>
  <c r="F41" i="2"/>
  <c r="M40" i="2"/>
  <c r="L40" i="2"/>
  <c r="K40" i="2"/>
  <c r="J40" i="2"/>
  <c r="F40" i="2"/>
  <c r="J39" i="2"/>
  <c r="F39" i="2"/>
  <c r="J38" i="2"/>
  <c r="F38" i="2"/>
  <c r="F37" i="2"/>
  <c r="J36" i="2"/>
  <c r="F36" i="2"/>
  <c r="J35" i="2"/>
  <c r="F35" i="2"/>
  <c r="J34" i="2"/>
  <c r="F34" i="2"/>
  <c r="J33" i="2"/>
  <c r="F33" i="2"/>
  <c r="J32" i="2"/>
  <c r="F32" i="2"/>
  <c r="J31" i="2"/>
  <c r="F31" i="2"/>
  <c r="J30" i="2"/>
  <c r="F30" i="2"/>
  <c r="J29" i="2"/>
  <c r="F29" i="2"/>
  <c r="M28" i="2"/>
  <c r="L28" i="2"/>
  <c r="K28" i="2"/>
  <c r="J28" i="2"/>
  <c r="F28" i="2"/>
  <c r="M27" i="2"/>
  <c r="L27" i="2"/>
  <c r="K27" i="2"/>
  <c r="J27" i="2"/>
  <c r="F27" i="2"/>
  <c r="M26" i="2"/>
  <c r="L26" i="2"/>
  <c r="K26" i="2"/>
  <c r="J26" i="2"/>
  <c r="F26" i="2"/>
  <c r="M25" i="2"/>
  <c r="L25" i="2"/>
  <c r="K25" i="2"/>
  <c r="J25" i="2"/>
  <c r="F25" i="2"/>
  <c r="M24" i="2"/>
  <c r="L24" i="2"/>
  <c r="K24" i="2"/>
  <c r="J24" i="2"/>
  <c r="F24" i="2"/>
  <c r="J23" i="2"/>
  <c r="F23" i="2"/>
  <c r="J22" i="2"/>
  <c r="F22" i="2"/>
  <c r="J21" i="2"/>
  <c r="F21" i="2"/>
  <c r="M20" i="2"/>
  <c r="L20" i="2"/>
  <c r="K20" i="2"/>
  <c r="J20" i="2"/>
  <c r="F20" i="2"/>
  <c r="M19" i="2"/>
  <c r="L19" i="2"/>
  <c r="K19" i="2"/>
  <c r="J19" i="2"/>
  <c r="F19" i="2"/>
  <c r="M18" i="2"/>
  <c r="L18" i="2"/>
  <c r="K18" i="2"/>
  <c r="J18" i="2"/>
  <c r="F18" i="2"/>
  <c r="M17" i="2"/>
  <c r="L17" i="2"/>
  <c r="K17" i="2"/>
  <c r="J17" i="2"/>
  <c r="F17" i="2"/>
  <c r="J16" i="2"/>
  <c r="F16" i="2"/>
  <c r="J15" i="2"/>
  <c r="F15" i="2"/>
  <c r="J14" i="2"/>
  <c r="F14" i="2"/>
  <c r="M13" i="2"/>
  <c r="F13" i="2"/>
  <c r="J12" i="2"/>
  <c r="F12" i="2"/>
  <c r="M11" i="2"/>
  <c r="L11" i="2"/>
  <c r="K11" i="2"/>
  <c r="J11" i="2"/>
  <c r="F11" i="2"/>
  <c r="J10" i="2"/>
  <c r="F10" i="2"/>
  <c r="J9" i="2"/>
  <c r="F9" i="2"/>
  <c r="J8" i="2"/>
  <c r="F8" i="2"/>
  <c r="M7" i="2"/>
  <c r="L7" i="2"/>
  <c r="K7" i="2"/>
  <c r="J7" i="2"/>
  <c r="F7" i="2"/>
  <c r="F6" i="2"/>
  <c r="F5" i="2"/>
  <c r="F4" i="2"/>
  <c r="F3" i="2"/>
  <c r="J35" i="9" l="1"/>
  <c r="G37" i="9" s="1"/>
  <c r="F2" i="4" s="1"/>
  <c r="F13" i="4" s="1"/>
  <c r="C56" i="3"/>
  <c r="G13" i="4"/>
  <c r="L21" i="9"/>
  <c r="L35" i="9" s="1"/>
  <c r="B56" i="3"/>
  <c r="H161" i="2"/>
  <c r="M36" i="8"/>
  <c r="M37" i="8" s="1"/>
  <c r="E7" i="4"/>
  <c r="E6" i="4"/>
  <c r="K6" i="4" s="1"/>
  <c r="L6" i="4" s="1"/>
  <c r="M6" i="4" s="1"/>
  <c r="H212" i="2"/>
  <c r="G875" i="1" s="1"/>
  <c r="AC239" i="2"/>
  <c r="AC243" i="2"/>
  <c r="AC11" i="2"/>
  <c r="AC35" i="2"/>
  <c r="AC127" i="2"/>
  <c r="AC170" i="2"/>
  <c r="AC242" i="2"/>
  <c r="AC87" i="2"/>
  <c r="AC107" i="2"/>
  <c r="AC111" i="2"/>
  <c r="AC191" i="2"/>
  <c r="AC203" i="2"/>
  <c r="AC27" i="2"/>
  <c r="AC79" i="2"/>
  <c r="AC219" i="2"/>
  <c r="AC323" i="2"/>
  <c r="AC19" i="2"/>
  <c r="AC4" i="2"/>
  <c r="AC304" i="2"/>
  <c r="AC316" i="2"/>
  <c r="AC312" i="2"/>
  <c r="AC228" i="2"/>
  <c r="AC256" i="2"/>
  <c r="AC276" i="2"/>
  <c r="AC284" i="2"/>
  <c r="AC145" i="2"/>
  <c r="AC173" i="2"/>
  <c r="AC181" i="2"/>
  <c r="AC197" i="2"/>
  <c r="AC233" i="2"/>
  <c r="Q234" i="2"/>
  <c r="R234" i="2" s="1"/>
  <c r="AC61" i="2"/>
  <c r="AC249" i="2"/>
  <c r="AC289" i="2"/>
  <c r="AC297" i="2"/>
  <c r="AC333" i="2"/>
  <c r="AC353" i="2"/>
  <c r="AC6" i="2"/>
  <c r="AC42" i="2"/>
  <c r="AC78" i="2"/>
  <c r="AC194" i="2"/>
  <c r="AC294" i="2"/>
  <c r="AC346" i="2"/>
  <c r="Q210" i="2"/>
  <c r="R210" i="2" s="1"/>
  <c r="Q205" i="2"/>
  <c r="R205" i="2" s="1"/>
  <c r="Q178" i="2"/>
  <c r="R178" i="2" s="1"/>
  <c r="Q164" i="2"/>
  <c r="R164" i="2" s="1"/>
  <c r="Q134" i="2"/>
  <c r="R134" i="2" s="1"/>
  <c r="Q113" i="2"/>
  <c r="R113" i="2" s="1"/>
  <c r="Q116" i="2"/>
  <c r="R116" i="2" s="1"/>
  <c r="AB354" i="2"/>
  <c r="AC10" i="2"/>
  <c r="AC18" i="2"/>
  <c r="AC34" i="2"/>
  <c r="AC46" i="2"/>
  <c r="AC66" i="2"/>
  <c r="AC74" i="2"/>
  <c r="AC90" i="2"/>
  <c r="AC102" i="2"/>
  <c r="AC106" i="2"/>
  <c r="AC110" i="2"/>
  <c r="AC118" i="2"/>
  <c r="AC142" i="2"/>
  <c r="AC178" i="2"/>
  <c r="AC198" i="2"/>
  <c r="AC258" i="2"/>
  <c r="AC298" i="2"/>
  <c r="AC350" i="2"/>
  <c r="AC58" i="2"/>
  <c r="AC202" i="2"/>
  <c r="AC206" i="2"/>
  <c r="AC278" i="2"/>
  <c r="AC290" i="2"/>
  <c r="AC54" i="2"/>
  <c r="AC70" i="2"/>
  <c r="AC82" i="2"/>
  <c r="AC94" i="2"/>
  <c r="AC114" i="2"/>
  <c r="AC138" i="2"/>
  <c r="AC146" i="2"/>
  <c r="AC166" i="2"/>
  <c r="AC234" i="2"/>
  <c r="AC266" i="2"/>
  <c r="AC314" i="2"/>
  <c r="AC338" i="2"/>
  <c r="R284" i="2"/>
  <c r="R297" i="2"/>
  <c r="AC322" i="2"/>
  <c r="R340" i="2"/>
  <c r="Q163" i="2"/>
  <c r="R163" i="2" s="1"/>
  <c r="Q170" i="2"/>
  <c r="R170" i="2" s="1"/>
  <c r="Q175" i="2"/>
  <c r="R175" i="2" s="1"/>
  <c r="Q293" i="2"/>
  <c r="Q309" i="2"/>
  <c r="R309" i="2" s="1"/>
  <c r="Q111" i="2"/>
  <c r="R111" i="2" s="1"/>
  <c r="AC86" i="2"/>
  <c r="AC26" i="2"/>
  <c r="AC15" i="2"/>
  <c r="AC7" i="2"/>
  <c r="AC310" i="2"/>
  <c r="AC282" i="2"/>
  <c r="AC218" i="2"/>
  <c r="AC126" i="2"/>
  <c r="AC3" i="2"/>
  <c r="AC330" i="2"/>
  <c r="AC250" i="2"/>
  <c r="AC62" i="2"/>
  <c r="AC12" i="2"/>
  <c r="AC339" i="2"/>
  <c r="AC334" i="2"/>
  <c r="AC317" i="2"/>
  <c r="AC269" i="2"/>
  <c r="AC263" i="2"/>
  <c r="AC244" i="2"/>
  <c r="AC211" i="2"/>
  <c r="AC164" i="2"/>
  <c r="AC159" i="2"/>
  <c r="AC149" i="2"/>
  <c r="AC133" i="2"/>
  <c r="AC120" i="2"/>
  <c r="AC115" i="2"/>
  <c r="AC97" i="2"/>
  <c r="AC92" i="2"/>
  <c r="AC68" i="2"/>
  <c r="AC23" i="2"/>
  <c r="AC17" i="2"/>
  <c r="AC345" i="2"/>
  <c r="AC328" i="2"/>
  <c r="AC303" i="2"/>
  <c r="AC288" i="2"/>
  <c r="AC268" i="2"/>
  <c r="AC261" i="2"/>
  <c r="AC255" i="2"/>
  <c r="AC248" i="2"/>
  <c r="AC237" i="2"/>
  <c r="AC227" i="2"/>
  <c r="AC208" i="2"/>
  <c r="AC196" i="2"/>
  <c r="AC189" i="2"/>
  <c r="AC163" i="2"/>
  <c r="AC153" i="2"/>
  <c r="AC148" i="2"/>
  <c r="AC137" i="2"/>
  <c r="AC96" i="2"/>
  <c r="AC91" i="2"/>
  <c r="AC71" i="2"/>
  <c r="AC60" i="2"/>
  <c r="AC53" i="2"/>
  <c r="AC45" i="2"/>
  <c r="AC40" i="2"/>
  <c r="AC33" i="2"/>
  <c r="AC20" i="2"/>
  <c r="AC16" i="2"/>
  <c r="Q220" i="2"/>
  <c r="R220" i="2" s="1"/>
  <c r="Q265" i="2"/>
  <c r="R265" i="2" s="1"/>
  <c r="R301" i="2"/>
  <c r="R308" i="2"/>
  <c r="AA354" i="2"/>
  <c r="AC352" i="2"/>
  <c r="AC343" i="2"/>
  <c r="AC337" i="2"/>
  <c r="AC331" i="2"/>
  <c r="AC327" i="2"/>
  <c r="AC321" i="2"/>
  <c r="AC315" i="2"/>
  <c r="AC308" i="2"/>
  <c r="AC300" i="2"/>
  <c r="AC296" i="2"/>
  <c r="AC292" i="2"/>
  <c r="AC287" i="2"/>
  <c r="AC280" i="2"/>
  <c r="AC275" i="2"/>
  <c r="AC259" i="2"/>
  <c r="AC252" i="2"/>
  <c r="AC247" i="2"/>
  <c r="AC236" i="2"/>
  <c r="AC231" i="2"/>
  <c r="AC221" i="2"/>
  <c r="AC216" i="2"/>
  <c r="AC200" i="2"/>
  <c r="AC185" i="2"/>
  <c r="AC177" i="2"/>
  <c r="AC168" i="2"/>
  <c r="AC161" i="2"/>
  <c r="AC152" i="2"/>
  <c r="AC147" i="2"/>
  <c r="AC140" i="2"/>
  <c r="AC136" i="2"/>
  <c r="AC129" i="2"/>
  <c r="AC124" i="2"/>
  <c r="AC117" i="2"/>
  <c r="AC113" i="2"/>
  <c r="AC109" i="2"/>
  <c r="AC85" i="2"/>
  <c r="AC77" i="2"/>
  <c r="AC65" i="2"/>
  <c r="AC51" i="2"/>
  <c r="AC44" i="2"/>
  <c r="AC37" i="2"/>
  <c r="AC32" i="2"/>
  <c r="AC25" i="2"/>
  <c r="Q107" i="2"/>
  <c r="R107" i="2" s="1"/>
  <c r="AC340" i="2"/>
  <c r="AC335" i="2"/>
  <c r="AC325" i="2"/>
  <c r="AC319" i="2"/>
  <c r="AC305" i="2"/>
  <c r="AC299" i="2"/>
  <c r="AC295" i="2"/>
  <c r="AC285" i="2"/>
  <c r="AC279" i="2"/>
  <c r="AC273" i="2"/>
  <c r="AC265" i="2"/>
  <c r="AC245" i="2"/>
  <c r="AC241" i="2"/>
  <c r="AC229" i="2"/>
  <c r="AC220" i="2"/>
  <c r="AC215" i="2"/>
  <c r="AC205" i="2"/>
  <c r="AC193" i="2"/>
  <c r="AC184" i="2"/>
  <c r="AC175" i="2"/>
  <c r="AC160" i="2"/>
  <c r="AC151" i="2"/>
  <c r="AC139" i="2"/>
  <c r="AC135" i="2"/>
  <c r="AC128" i="2"/>
  <c r="AC123" i="2"/>
  <c r="AC116" i="2"/>
  <c r="AC112" i="2"/>
  <c r="AC108" i="2"/>
  <c r="AC99" i="2"/>
  <c r="AC93" i="2"/>
  <c r="AC88" i="2"/>
  <c r="AC75" i="2"/>
  <c r="AC69" i="2"/>
  <c r="AC55" i="2"/>
  <c r="AC49" i="2"/>
  <c r="AC43" i="2"/>
  <c r="AC28" i="2"/>
  <c r="AC24" i="2"/>
  <c r="Q68" i="2"/>
  <c r="R68" i="2" s="1"/>
  <c r="Q103" i="2"/>
  <c r="R103" i="2" s="1"/>
  <c r="Q87" i="2"/>
  <c r="R87" i="2" s="1"/>
  <c r="Q337" i="2"/>
  <c r="R337" i="2" s="1"/>
  <c r="Q268" i="2"/>
  <c r="R268" i="2" s="1"/>
  <c r="Q285" i="2"/>
  <c r="R285" i="2" s="1"/>
  <c r="Q85" i="2"/>
  <c r="R85" i="2" s="1"/>
  <c r="Q49" i="2"/>
  <c r="R49" i="2" s="1"/>
  <c r="Q43" i="2"/>
  <c r="R43" i="2" s="1"/>
  <c r="Q74" i="2"/>
  <c r="R74" i="2" s="1"/>
  <c r="Q51" i="2"/>
  <c r="R51" i="2" s="1"/>
  <c r="Q32" i="2"/>
  <c r="R32" i="2" s="1"/>
  <c r="Q23" i="2"/>
  <c r="R23" i="2" s="1"/>
  <c r="Q15" i="2"/>
  <c r="R15" i="2" s="1"/>
  <c r="X354" i="2"/>
  <c r="AC349" i="2"/>
  <c r="AC277" i="2"/>
  <c r="AC230" i="2"/>
  <c r="AC188" i="2"/>
  <c r="AC171" i="2"/>
  <c r="AC158" i="2"/>
  <c r="AC157" i="2"/>
  <c r="AC119" i="2"/>
  <c r="AC36" i="2"/>
  <c r="AC342" i="2"/>
  <c r="AC301" i="2"/>
  <c r="AC291" i="2"/>
  <c r="AC281" i="2"/>
  <c r="AC238" i="2"/>
  <c r="AC190" i="2"/>
  <c r="AC182" i="2"/>
  <c r="AC167" i="2"/>
  <c r="AC165" i="2"/>
  <c r="AC144" i="2"/>
  <c r="AC141" i="2"/>
  <c r="AC63" i="2"/>
  <c r="AC39" i="2"/>
  <c r="AC262" i="2"/>
  <c r="AC195" i="2"/>
  <c r="AC186" i="2"/>
  <c r="AC104" i="2"/>
  <c r="AC9" i="2"/>
  <c r="AC348" i="2"/>
  <c r="AC347" i="2"/>
  <c r="AC326" i="2"/>
  <c r="AC324" i="2"/>
  <c r="AC306" i="2"/>
  <c r="AC302" i="2"/>
  <c r="AC274" i="2"/>
  <c r="AC270" i="2"/>
  <c r="AC226" i="2"/>
  <c r="AC225" i="2"/>
  <c r="AC212" i="2"/>
  <c r="AC207" i="2"/>
  <c r="AC201" i="2"/>
  <c r="AC192" i="2"/>
  <c r="AC156" i="2"/>
  <c r="AC155" i="2"/>
  <c r="AC134" i="2"/>
  <c r="AC132" i="2"/>
  <c r="AC130" i="2"/>
  <c r="AC122" i="2"/>
  <c r="AC121" i="2"/>
  <c r="AC76" i="2"/>
  <c r="AC56" i="2"/>
  <c r="AC52" i="2"/>
  <c r="AC344" i="2"/>
  <c r="AC336" i="2"/>
  <c r="AC332" i="2"/>
  <c r="AC311" i="2"/>
  <c r="AC309" i="2"/>
  <c r="AC307" i="2"/>
  <c r="AC286" i="2"/>
  <c r="AC271" i="2"/>
  <c r="AC267" i="2"/>
  <c r="AC246" i="2"/>
  <c r="AC235" i="2"/>
  <c r="AC224" i="2"/>
  <c r="AC223" i="2"/>
  <c r="AC213" i="2"/>
  <c r="AC210" i="2"/>
  <c r="AC204" i="2"/>
  <c r="AC180" i="2"/>
  <c r="AC179" i="2"/>
  <c r="AC169" i="2"/>
  <c r="AC162" i="2"/>
  <c r="AC150" i="2"/>
  <c r="AC131" i="2"/>
  <c r="AC105" i="2"/>
  <c r="AC100" i="2"/>
  <c r="AC95" i="2"/>
  <c r="AC89" i="2"/>
  <c r="AC59" i="2"/>
  <c r="AC47" i="2"/>
  <c r="AC41" i="2"/>
  <c r="AC30" i="2"/>
  <c r="AC21" i="2"/>
  <c r="AC5" i="2"/>
  <c r="AC57" i="2"/>
  <c r="AC29" i="2"/>
  <c r="AC351" i="2"/>
  <c r="AC341" i="2"/>
  <c r="AC320" i="2"/>
  <c r="AC318" i="2"/>
  <c r="AC313" i="2"/>
  <c r="AC283" i="2"/>
  <c r="AC272" i="2"/>
  <c r="AC264" i="2"/>
  <c r="AC260" i="2"/>
  <c r="AC253" i="2"/>
  <c r="AC251" i="2"/>
  <c r="AC217" i="2"/>
  <c r="AC209" i="2"/>
  <c r="AC199" i="2"/>
  <c r="AC187" i="2"/>
  <c r="AC176" i="2"/>
  <c r="AC174" i="2"/>
  <c r="AC154" i="2"/>
  <c r="AC143" i="2"/>
  <c r="AC125" i="2"/>
  <c r="AC101" i="2"/>
  <c r="AC98" i="2"/>
  <c r="AC81" i="2"/>
  <c r="AC80" i="2"/>
  <c r="AC48" i="2"/>
  <c r="AC38" i="2"/>
  <c r="AC31" i="2"/>
  <c r="AC13" i="2"/>
  <c r="Q3" i="2"/>
  <c r="R3" i="2" s="1"/>
  <c r="Y354" i="2"/>
  <c r="Q12" i="2"/>
  <c r="R12" i="2" s="1"/>
  <c r="Q143" i="2"/>
  <c r="R143" i="2" s="1"/>
  <c r="Q151" i="2"/>
  <c r="R151" i="2" s="1"/>
  <c r="Q153" i="2"/>
  <c r="R153" i="2" s="1"/>
  <c r="Q159" i="2"/>
  <c r="R159" i="2" s="1"/>
  <c r="Q180" i="2"/>
  <c r="R180" i="2" s="1"/>
  <c r="Q193" i="2"/>
  <c r="R193" i="2" s="1"/>
  <c r="Q194" i="2"/>
  <c r="R194" i="2" s="1"/>
  <c r="Q207" i="2"/>
  <c r="R207" i="2" s="1"/>
  <c r="Q239" i="2"/>
  <c r="R239" i="2" s="1"/>
  <c r="Q244" i="2"/>
  <c r="R244" i="2" s="1"/>
  <c r="Q254" i="2"/>
  <c r="R254" i="2" s="1"/>
  <c r="Q300" i="2"/>
  <c r="R300" i="2" s="1"/>
  <c r="Q303" i="2"/>
  <c r="R303" i="2" s="1"/>
  <c r="Q325" i="2"/>
  <c r="R325" i="2" s="1"/>
  <c r="R328" i="2"/>
  <c r="Q334" i="2"/>
  <c r="R334" i="2" s="1"/>
  <c r="R346" i="2"/>
  <c r="Q348" i="2"/>
  <c r="R348" i="2" s="1"/>
  <c r="W354" i="2"/>
  <c r="AC257" i="2"/>
  <c r="AC214" i="2"/>
  <c r="Q47" i="2"/>
  <c r="R47" i="2" s="1"/>
  <c r="Q72" i="2"/>
  <c r="R72" i="2" s="1"/>
  <c r="Q79" i="2"/>
  <c r="R79" i="2" s="1"/>
  <c r="Q127" i="2"/>
  <c r="R127" i="2" s="1"/>
  <c r="Q144" i="2"/>
  <c r="R144" i="2" s="1"/>
  <c r="Q187" i="2"/>
  <c r="R187" i="2" s="1"/>
  <c r="Q349" i="2"/>
  <c r="R349" i="2" s="1"/>
  <c r="AC254" i="2"/>
  <c r="AC240" i="2"/>
  <c r="AC222" i="2"/>
  <c r="Q136" i="2"/>
  <c r="R136" i="2" s="1"/>
  <c r="Q171" i="2"/>
  <c r="R171" i="2" s="1"/>
  <c r="Q174" i="2"/>
  <c r="R174" i="2" s="1"/>
  <c r="Q184" i="2"/>
  <c r="R184" i="2" s="1"/>
  <c r="Q191" i="2"/>
  <c r="R191" i="2" s="1"/>
  <c r="Q200" i="2"/>
  <c r="R200" i="2" s="1"/>
  <c r="Q226" i="2"/>
  <c r="R226" i="2" s="1"/>
  <c r="Q236" i="2"/>
  <c r="R236" i="2" s="1"/>
  <c r="Q242" i="2"/>
  <c r="R242" i="2" s="1"/>
  <c r="Q299" i="2"/>
  <c r="R299" i="2" s="1"/>
  <c r="Q313" i="2"/>
  <c r="R313" i="2" s="1"/>
  <c r="U354" i="2"/>
  <c r="AC172" i="2"/>
  <c r="AC183" i="2"/>
  <c r="AC83" i="2"/>
  <c r="AC64" i="2"/>
  <c r="AC8" i="2"/>
  <c r="AC84" i="2"/>
  <c r="AC73" i="2"/>
  <c r="AC72" i="2"/>
  <c r="AC67" i="2"/>
  <c r="AC50" i="2"/>
  <c r="AC22" i="2"/>
  <c r="AC103" i="2"/>
  <c r="AC14" i="2"/>
  <c r="Q13" i="2"/>
  <c r="R13" i="2" s="1"/>
  <c r="Q314" i="2"/>
  <c r="R314" i="2" s="1"/>
  <c r="Q319" i="2"/>
  <c r="R319" i="2" s="1"/>
  <c r="Q350" i="2"/>
  <c r="R350" i="2" s="1"/>
  <c r="Q123" i="2"/>
  <c r="R123" i="2" s="1"/>
  <c r="Q140" i="2"/>
  <c r="R140" i="2" s="1"/>
  <c r="Q166" i="2"/>
  <c r="R166" i="2" s="1"/>
  <c r="Q181" i="2"/>
  <c r="R181" i="2" s="1"/>
  <c r="Q198" i="2"/>
  <c r="R198" i="2" s="1"/>
  <c r="Q177" i="2"/>
  <c r="R177" i="2" s="1"/>
  <c r="Q229" i="2"/>
  <c r="R229" i="2" s="1"/>
  <c r="Q269" i="2"/>
  <c r="R269" i="2" s="1"/>
  <c r="Q294" i="2"/>
  <c r="R294" i="2" s="1"/>
  <c r="Q295" i="2"/>
  <c r="R295" i="2" s="1"/>
  <c r="F354" i="2"/>
  <c r="D12" i="4" s="1"/>
  <c r="Q6" i="2"/>
  <c r="R6" i="2" s="1"/>
  <c r="Q21" i="2"/>
  <c r="R21" i="2" s="1"/>
  <c r="Q22" i="2"/>
  <c r="R22" i="2" s="1"/>
  <c r="Q29" i="2"/>
  <c r="R29" i="2" s="1"/>
  <c r="Q30" i="2"/>
  <c r="R30" i="2" s="1"/>
  <c r="Q33" i="2"/>
  <c r="R33" i="2" s="1"/>
  <c r="Q37" i="2"/>
  <c r="R37" i="2" s="1"/>
  <c r="Q38" i="2"/>
  <c r="R38" i="2" s="1"/>
  <c r="Q44" i="2"/>
  <c r="R44" i="2" s="1"/>
  <c r="Q46" i="2"/>
  <c r="R46" i="2" s="1"/>
  <c r="Q50" i="2"/>
  <c r="R50" i="2" s="1"/>
  <c r="Q54" i="2"/>
  <c r="R54" i="2" s="1"/>
  <c r="Q55" i="2"/>
  <c r="R55" i="2" s="1"/>
  <c r="Q77" i="2"/>
  <c r="R77" i="2" s="1"/>
  <c r="Q82" i="2"/>
  <c r="R82" i="2" s="1"/>
  <c r="Q83" i="2"/>
  <c r="R83" i="2" s="1"/>
  <c r="Q84" i="2"/>
  <c r="R84" i="2" s="1"/>
  <c r="Q95" i="2"/>
  <c r="R95" i="2" s="1"/>
  <c r="Q115" i="2"/>
  <c r="R115" i="2" s="1"/>
  <c r="Q128" i="2"/>
  <c r="R128" i="2" s="1"/>
  <c r="Q141" i="2"/>
  <c r="R141" i="2" s="1"/>
  <c r="Q145" i="2"/>
  <c r="R145" i="2" s="1"/>
  <c r="Q147" i="2"/>
  <c r="R147" i="2" s="1"/>
  <c r="Q152" i="2"/>
  <c r="R152" i="2" s="1"/>
  <c r="Q160" i="2"/>
  <c r="R160" i="2" s="1"/>
  <c r="Q173" i="2"/>
  <c r="R173" i="2" s="1"/>
  <c r="R256" i="2"/>
  <c r="Q275" i="2"/>
  <c r="R275" i="2" s="1"/>
  <c r="Q5" i="2"/>
  <c r="R5" i="2" s="1"/>
  <c r="Q9" i="2"/>
  <c r="R9" i="2" s="1"/>
  <c r="Q14" i="2"/>
  <c r="R14" i="2" s="1"/>
  <c r="Q16" i="2"/>
  <c r="R16" i="2" s="1"/>
  <c r="Q25" i="2"/>
  <c r="R25" i="2" s="1"/>
  <c r="Q26" i="2"/>
  <c r="R26" i="2" s="1"/>
  <c r="Q28" i="2"/>
  <c r="R28" i="2" s="1"/>
  <c r="Q39" i="2"/>
  <c r="R39" i="2" s="1"/>
  <c r="Q40" i="2"/>
  <c r="R40" i="2" s="1"/>
  <c r="Q56" i="2"/>
  <c r="R56" i="2" s="1"/>
  <c r="Q57" i="2"/>
  <c r="R57" i="2" s="1"/>
  <c r="Q60" i="2"/>
  <c r="R60" i="2" s="1"/>
  <c r="Q64" i="2"/>
  <c r="R64" i="2" s="1"/>
  <c r="Q88" i="2"/>
  <c r="R88" i="2" s="1"/>
  <c r="Q89" i="2"/>
  <c r="R89" i="2" s="1"/>
  <c r="Q91" i="2"/>
  <c r="R91" i="2" s="1"/>
  <c r="Q92" i="2"/>
  <c r="R92" i="2" s="1"/>
  <c r="Q93" i="2"/>
  <c r="R93" i="2" s="1"/>
  <c r="Q97" i="2"/>
  <c r="R97" i="2" s="1"/>
  <c r="Q120" i="2"/>
  <c r="R120" i="2" s="1"/>
  <c r="Q126" i="2"/>
  <c r="R126" i="2" s="1"/>
  <c r="Q137" i="2"/>
  <c r="R137" i="2" s="1"/>
  <c r="Q139" i="2"/>
  <c r="R139" i="2" s="1"/>
  <c r="Q154" i="2"/>
  <c r="R154" i="2" s="1"/>
  <c r="I354" i="2"/>
  <c r="Q8" i="2"/>
  <c r="R8" i="2" s="1"/>
  <c r="Q10" i="2"/>
  <c r="R10" i="2" s="1"/>
  <c r="Q24" i="2"/>
  <c r="R24" i="2" s="1"/>
  <c r="Q27" i="2"/>
  <c r="R27" i="2" s="1"/>
  <c r="Q42" i="2"/>
  <c r="R42" i="2" s="1"/>
  <c r="Q45" i="2"/>
  <c r="R45" i="2" s="1"/>
  <c r="Q58" i="2"/>
  <c r="R58" i="2" s="1"/>
  <c r="Q62" i="2"/>
  <c r="R62" i="2" s="1"/>
  <c r="Q65" i="2"/>
  <c r="R65" i="2" s="1"/>
  <c r="Q66" i="2"/>
  <c r="R66" i="2" s="1"/>
  <c r="Q67" i="2"/>
  <c r="R67" i="2" s="1"/>
  <c r="Q75" i="2"/>
  <c r="R75" i="2" s="1"/>
  <c r="Q81" i="2"/>
  <c r="R81" i="2" s="1"/>
  <c r="Q90" i="2"/>
  <c r="R90" i="2" s="1"/>
  <c r="Q100" i="2"/>
  <c r="R100" i="2" s="1"/>
  <c r="Q102" i="2"/>
  <c r="R102" i="2" s="1"/>
  <c r="Q109" i="2"/>
  <c r="R109" i="2" s="1"/>
  <c r="Q110" i="2"/>
  <c r="R110" i="2" s="1"/>
  <c r="Q112" i="2"/>
  <c r="R112" i="2" s="1"/>
  <c r="Q114" i="2"/>
  <c r="R114" i="2" s="1"/>
  <c r="Q118" i="2"/>
  <c r="R118" i="2" s="1"/>
  <c r="Q124" i="2"/>
  <c r="R124" i="2" s="1"/>
  <c r="Q131" i="2"/>
  <c r="R131" i="2" s="1"/>
  <c r="Q138" i="2"/>
  <c r="R138" i="2" s="1"/>
  <c r="Q142" i="2"/>
  <c r="R142" i="2" s="1"/>
  <c r="Q150" i="2"/>
  <c r="R150" i="2" s="1"/>
  <c r="Q155" i="2"/>
  <c r="R155" i="2" s="1"/>
  <c r="Q156" i="2"/>
  <c r="R156" i="2" s="1"/>
  <c r="Q279" i="2"/>
  <c r="R279" i="2" s="1"/>
  <c r="Q157" i="2"/>
  <c r="R157" i="2" s="1"/>
  <c r="Q167" i="2"/>
  <c r="R167" i="2" s="1"/>
  <c r="Q172" i="2"/>
  <c r="R172" i="2" s="1"/>
  <c r="Q189" i="2"/>
  <c r="R189" i="2" s="1"/>
  <c r="Q201" i="2"/>
  <c r="R201" i="2" s="1"/>
  <c r="Q223" i="2"/>
  <c r="R223" i="2" s="1"/>
  <c r="Q227" i="2"/>
  <c r="R227" i="2" s="1"/>
  <c r="Q228" i="2"/>
  <c r="R228" i="2" s="1"/>
  <c r="Q233" i="2"/>
  <c r="R233" i="2" s="1"/>
  <c r="Q237" i="2"/>
  <c r="R237" i="2" s="1"/>
  <c r="Q246" i="2"/>
  <c r="R246" i="2" s="1"/>
  <c r="Q255" i="2"/>
  <c r="R255" i="2" s="1"/>
  <c r="Q266" i="2"/>
  <c r="R266" i="2" s="1"/>
  <c r="Q267" i="2"/>
  <c r="R267" i="2" s="1"/>
  <c r="Q270" i="2"/>
  <c r="R270" i="2" s="1"/>
  <c r="Q271" i="2"/>
  <c r="R271" i="2" s="1"/>
  <c r="Q273" i="2"/>
  <c r="R273" i="2" s="1"/>
  <c r="Q321" i="2"/>
  <c r="R321" i="2" s="1"/>
  <c r="Q158" i="2"/>
  <c r="R158" i="2" s="1"/>
  <c r="Q168" i="2"/>
  <c r="R168" i="2" s="1"/>
  <c r="Q176" i="2"/>
  <c r="R176" i="2" s="1"/>
  <c r="Q179" i="2"/>
  <c r="R179" i="2" s="1"/>
  <c r="Q185" i="2"/>
  <c r="R185" i="2" s="1"/>
  <c r="Q186" i="2"/>
  <c r="R186" i="2" s="1"/>
  <c r="Q206" i="2"/>
  <c r="R206" i="2" s="1"/>
  <c r="Q219" i="2"/>
  <c r="R219" i="2" s="1"/>
  <c r="Q225" i="2"/>
  <c r="R225" i="2" s="1"/>
  <c r="Q230" i="2"/>
  <c r="R230" i="2" s="1"/>
  <c r="Q238" i="2"/>
  <c r="R238" i="2" s="1"/>
  <c r="Q247" i="2"/>
  <c r="R247" i="2" s="1"/>
  <c r="Q248" i="2"/>
  <c r="R248" i="2" s="1"/>
  <c r="Q249" i="2"/>
  <c r="R249" i="2" s="1"/>
  <c r="Q250" i="2"/>
  <c r="R250" i="2" s="1"/>
  <c r="Q257" i="2"/>
  <c r="R257" i="2" s="1"/>
  <c r="Q261" i="2"/>
  <c r="R261" i="2" s="1"/>
  <c r="R282" i="2"/>
  <c r="Q287" i="2"/>
  <c r="R287" i="2" s="1"/>
  <c r="Q304" i="2"/>
  <c r="R304" i="2" s="1"/>
  <c r="Q322" i="2"/>
  <c r="R322" i="2" s="1"/>
  <c r="Q323" i="2"/>
  <c r="R323" i="2" s="1"/>
  <c r="Q329" i="2"/>
  <c r="R329" i="2" s="1"/>
  <c r="Q353" i="2"/>
  <c r="R353" i="2" s="1"/>
  <c r="Q190" i="2"/>
  <c r="R190" i="2" s="1"/>
  <c r="Q195" i="2"/>
  <c r="R195" i="2" s="1"/>
  <c r="Q196" i="2"/>
  <c r="R196" i="2" s="1"/>
  <c r="Q197" i="2"/>
  <c r="R197" i="2" s="1"/>
  <c r="Q204" i="2"/>
  <c r="R204" i="2" s="1"/>
  <c r="Q211" i="2"/>
  <c r="R211" i="2" s="1"/>
  <c r="Q213" i="2"/>
  <c r="R213" i="2" s="1"/>
  <c r="Q214" i="2"/>
  <c r="R214" i="2" s="1"/>
  <c r="Q221" i="2"/>
  <c r="R221" i="2" s="1"/>
  <c r="Q240" i="2"/>
  <c r="R240" i="2" s="1"/>
  <c r="Q241" i="2"/>
  <c r="R241" i="2" s="1"/>
  <c r="Q243" i="2"/>
  <c r="R243" i="2" s="1"/>
  <c r="Q245" i="2"/>
  <c r="R245" i="2" s="1"/>
  <c r="Q251" i="2"/>
  <c r="R251" i="2" s="1"/>
  <c r="Q252" i="2"/>
  <c r="R252" i="2" s="1"/>
  <c r="Q253" i="2"/>
  <c r="R253" i="2" s="1"/>
  <c r="Q258" i="2"/>
  <c r="R258" i="2" s="1"/>
  <c r="Q262" i="2"/>
  <c r="R262" i="2" s="1"/>
  <c r="Q263" i="2"/>
  <c r="R263" i="2" s="1"/>
  <c r="Q277" i="2"/>
  <c r="R277" i="2" s="1"/>
  <c r="Q281" i="2"/>
  <c r="R281" i="2" s="1"/>
  <c r="Q283" i="2"/>
  <c r="R283" i="2" s="1"/>
  <c r="Q288" i="2"/>
  <c r="R288" i="2" s="1"/>
  <c r="Q290" i="2"/>
  <c r="R290" i="2" s="1"/>
  <c r="Q292" i="2"/>
  <c r="R292" i="2" s="1"/>
  <c r="R293" i="2"/>
  <c r="Q305" i="2"/>
  <c r="R305" i="2" s="1"/>
  <c r="Q306" i="2"/>
  <c r="R306" i="2" s="1"/>
  <c r="Q315" i="2"/>
  <c r="Q318" i="2"/>
  <c r="R318" i="2" s="1"/>
  <c r="Q330" i="2"/>
  <c r="R330" i="2" s="1"/>
  <c r="Q332" i="2"/>
  <c r="R332" i="2" s="1"/>
  <c r="Q333" i="2"/>
  <c r="R333" i="2" s="1"/>
  <c r="R336" i="2"/>
  <c r="Q339" i="2"/>
  <c r="R339" i="2" s="1"/>
  <c r="Q342" i="2"/>
  <c r="R342" i="2" s="1"/>
  <c r="Q343" i="2"/>
  <c r="R343" i="2" s="1"/>
  <c r="Q351" i="2"/>
  <c r="R351" i="2" s="1"/>
  <c r="Q4" i="2"/>
  <c r="R4" i="2" s="1"/>
  <c r="Q11" i="2"/>
  <c r="R11" i="2" s="1"/>
  <c r="Q17" i="2"/>
  <c r="R17" i="2" s="1"/>
  <c r="Q18" i="2"/>
  <c r="R18" i="2" s="1"/>
  <c r="Q19" i="2"/>
  <c r="R19" i="2" s="1"/>
  <c r="Q20" i="2"/>
  <c r="R20" i="2" s="1"/>
  <c r="Q36" i="2"/>
  <c r="R36" i="2" s="1"/>
  <c r="Q48" i="2"/>
  <c r="R48" i="2" s="1"/>
  <c r="Q52" i="2"/>
  <c r="R52" i="2" s="1"/>
  <c r="Q53" i="2"/>
  <c r="R53" i="2" s="1"/>
  <c r="Q61" i="2"/>
  <c r="R61" i="2" s="1"/>
  <c r="Q69" i="2"/>
  <c r="R69" i="2" s="1"/>
  <c r="Q70" i="2"/>
  <c r="R70" i="2" s="1"/>
  <c r="Q71" i="2"/>
  <c r="R71" i="2" s="1"/>
  <c r="Q78" i="2"/>
  <c r="R78" i="2" s="1"/>
  <c r="Q122" i="2"/>
  <c r="R122" i="2" s="1"/>
  <c r="Q125" i="2"/>
  <c r="R125" i="2" s="1"/>
  <c r="Q31" i="2"/>
  <c r="R31" i="2" s="1"/>
  <c r="Q117" i="2"/>
  <c r="R117" i="2" s="1"/>
  <c r="Q132" i="2"/>
  <c r="R132" i="2" s="1"/>
  <c r="K354" i="2"/>
  <c r="B102" i="3" s="1"/>
  <c r="Q73" i="2"/>
  <c r="R73" i="2" s="1"/>
  <c r="Q76" i="2"/>
  <c r="R76" i="2" s="1"/>
  <c r="Q133" i="2"/>
  <c r="R133" i="2" s="1"/>
  <c r="Q7" i="2"/>
  <c r="R7" i="2" s="1"/>
  <c r="Q34" i="2"/>
  <c r="R34" i="2" s="1"/>
  <c r="Q41" i="2"/>
  <c r="R41" i="2" s="1"/>
  <c r="Q59" i="2"/>
  <c r="R59" i="2" s="1"/>
  <c r="Q63" i="2"/>
  <c r="R63" i="2" s="1"/>
  <c r="Q106" i="2"/>
  <c r="R106" i="2" s="1"/>
  <c r="Q188" i="2"/>
  <c r="R188" i="2" s="1"/>
  <c r="M354" i="2"/>
  <c r="J354" i="2"/>
  <c r="Q86" i="2"/>
  <c r="R86" i="2" s="1"/>
  <c r="Q94" i="2"/>
  <c r="R94" i="2" s="1"/>
  <c r="Q96" i="2"/>
  <c r="R96" i="2" s="1"/>
  <c r="Q99" i="2"/>
  <c r="R99" i="2" s="1"/>
  <c r="Q101" i="2"/>
  <c r="R101" i="2" s="1"/>
  <c r="Q104" i="2"/>
  <c r="R104" i="2" s="1"/>
  <c r="Q119" i="2"/>
  <c r="R119" i="2" s="1"/>
  <c r="Q146" i="2"/>
  <c r="R146" i="2" s="1"/>
  <c r="Q165" i="2"/>
  <c r="R165" i="2" s="1"/>
  <c r="Q182" i="2"/>
  <c r="R182" i="2" s="1"/>
  <c r="Q80" i="2"/>
  <c r="R80" i="2" s="1"/>
  <c r="Q98" i="2"/>
  <c r="R98" i="2" s="1"/>
  <c r="Q105" i="2"/>
  <c r="R105" i="2" s="1"/>
  <c r="Q108" i="2"/>
  <c r="R108" i="2" s="1"/>
  <c r="Q121" i="2"/>
  <c r="R121" i="2" s="1"/>
  <c r="Q129" i="2"/>
  <c r="R129" i="2" s="1"/>
  <c r="Q130" i="2"/>
  <c r="R130" i="2" s="1"/>
  <c r="Q135" i="2"/>
  <c r="R135" i="2" s="1"/>
  <c r="Q148" i="2"/>
  <c r="R148" i="2" s="1"/>
  <c r="Q149" i="2"/>
  <c r="R149" i="2" s="1"/>
  <c r="Q162" i="2"/>
  <c r="R162" i="2" s="1"/>
  <c r="Q169" i="2"/>
  <c r="R169" i="2" s="1"/>
  <c r="Q183" i="2"/>
  <c r="R183" i="2" s="1"/>
  <c r="Q192" i="2"/>
  <c r="R192" i="2" s="1"/>
  <c r="Q199" i="2"/>
  <c r="R199" i="2" s="1"/>
  <c r="Q209" i="2"/>
  <c r="R209" i="2" s="1"/>
  <c r="Q216" i="2"/>
  <c r="R216" i="2" s="1"/>
  <c r="Q224" i="2"/>
  <c r="R224" i="2" s="1"/>
  <c r="Q231" i="2"/>
  <c r="R231" i="2" s="1"/>
  <c r="Q202" i="2"/>
  <c r="R202" i="2" s="1"/>
  <c r="Q217" i="2"/>
  <c r="R217" i="2" s="1"/>
  <c r="Q232" i="2"/>
  <c r="R232" i="2" s="1"/>
  <c r="Q260" i="2"/>
  <c r="R260" i="2" s="1"/>
  <c r="Q203" i="2"/>
  <c r="R203" i="2" s="1"/>
  <c r="Q208" i="2"/>
  <c r="R208" i="2" s="1"/>
  <c r="Q215" i="2"/>
  <c r="R215" i="2" s="1"/>
  <c r="Q218" i="2"/>
  <c r="R218" i="2" s="1"/>
  <c r="Q222" i="2"/>
  <c r="R222" i="2" s="1"/>
  <c r="Q235" i="2"/>
  <c r="R235" i="2" s="1"/>
  <c r="Q264" i="2"/>
  <c r="R264" i="2" s="1"/>
  <c r="Q274" i="2"/>
  <c r="R274" i="2" s="1"/>
  <c r="Q278" i="2"/>
  <c r="R278" i="2" s="1"/>
  <c r="Q280" i="2"/>
  <c r="R280" i="2" s="1"/>
  <c r="Q286" i="2"/>
  <c r="R286" i="2" s="1"/>
  <c r="Q345" i="2"/>
  <c r="R345" i="2" s="1"/>
  <c r="Q259" i="2"/>
  <c r="R259" i="2" s="1"/>
  <c r="Q272" i="2"/>
  <c r="R272" i="2" s="1"/>
  <c r="Q276" i="2"/>
  <c r="R276" i="2" s="1"/>
  <c r="Q298" i="2"/>
  <c r="R298" i="2" s="1"/>
  <c r="Q331" i="2"/>
  <c r="R331" i="2" s="1"/>
  <c r="Q289" i="2"/>
  <c r="R289" i="2" s="1"/>
  <c r="Q291" i="2"/>
  <c r="R291" i="2" s="1"/>
  <c r="Q302" i="2"/>
  <c r="R302" i="2" s="1"/>
  <c r="Q316" i="2"/>
  <c r="R316" i="2" s="1"/>
  <c r="R317" i="2"/>
  <c r="Q326" i="2"/>
  <c r="R326" i="2" s="1"/>
  <c r="Q335" i="2"/>
  <c r="R335" i="2" s="1"/>
  <c r="Q347" i="2"/>
  <c r="R347" i="2" s="1"/>
  <c r="Q296" i="2"/>
  <c r="R296" i="2" s="1"/>
  <c r="Q307" i="2"/>
  <c r="R307" i="2" s="1"/>
  <c r="Q310" i="2"/>
  <c r="R310" i="2" s="1"/>
  <c r="Q311" i="2"/>
  <c r="R311" i="2" s="1"/>
  <c r="Q312" i="2"/>
  <c r="R312" i="2" s="1"/>
  <c r="Q324" i="2"/>
  <c r="R324" i="2" s="1"/>
  <c r="Q327" i="2"/>
  <c r="R327" i="2" s="1"/>
  <c r="Q352" i="2"/>
  <c r="R352" i="2" s="1"/>
  <c r="Q320" i="2"/>
  <c r="R320" i="2" s="1"/>
  <c r="Q338" i="2"/>
  <c r="R338" i="2" s="1"/>
  <c r="Q341" i="2"/>
  <c r="R341" i="2" s="1"/>
  <c r="Q344" i="2"/>
  <c r="R344" i="2" s="1"/>
  <c r="G15" i="4" l="1"/>
  <c r="E2" i="4"/>
  <c r="E56" i="3" s="1"/>
  <c r="K7" i="4"/>
  <c r="L7" i="4" s="1"/>
  <c r="C13" i="3" s="1"/>
  <c r="E63" i="3"/>
  <c r="G63" i="3" s="1"/>
  <c r="Q161" i="2"/>
  <c r="R161" i="2" s="1"/>
  <c r="G872" i="1"/>
  <c r="AF39" i="8"/>
  <c r="AF40" i="8" s="1"/>
  <c r="Q212" i="2"/>
  <c r="R212" i="2" s="1"/>
  <c r="V26" i="8"/>
  <c r="V27" i="8" s="1"/>
  <c r="B104" i="3"/>
  <c r="H12" i="4"/>
  <c r="D13" i="4"/>
  <c r="B14" i="3"/>
  <c r="B101" i="3"/>
  <c r="F12" i="4"/>
  <c r="K355" i="2"/>
  <c r="R315" i="2"/>
  <c r="AC354" i="2"/>
  <c r="H354" i="2"/>
  <c r="Q35" i="2"/>
  <c r="L354" i="2"/>
  <c r="M7" i="4" l="1"/>
  <c r="G56" i="3"/>
  <c r="K2" i="4"/>
  <c r="L2" i="4" s="1"/>
  <c r="G879" i="1"/>
  <c r="I1016" i="5"/>
  <c r="I1018" i="5" s="1"/>
  <c r="Q354" i="2"/>
  <c r="R354" i="2" s="1"/>
  <c r="E13" i="4"/>
  <c r="D13" i="3"/>
  <c r="B26" i="3" s="1"/>
  <c r="C26" i="3" s="1"/>
  <c r="D26" i="3" s="1"/>
  <c r="B105" i="3"/>
  <c r="E12" i="4"/>
  <c r="I355" i="2"/>
  <c r="B103" i="3"/>
  <c r="G12" i="4"/>
  <c r="G14" i="4" s="1"/>
  <c r="R35" i="2"/>
  <c r="M2" i="4" l="1"/>
  <c r="C6" i="3"/>
  <c r="D6" i="3" s="1"/>
  <c r="B19" i="3" s="1"/>
  <c r="C19" i="3" s="1"/>
  <c r="D19" i="3" s="1"/>
  <c r="L13" i="4"/>
  <c r="M13" i="4" s="1"/>
  <c r="K13" i="4"/>
  <c r="B106" i="3"/>
  <c r="C101" i="3" s="1"/>
  <c r="K12" i="4"/>
  <c r="C15" i="3" l="1"/>
  <c r="K15" i="4"/>
  <c r="C105" i="3"/>
  <c r="C103" i="3"/>
  <c r="C102" i="3"/>
  <c r="C104" i="3"/>
  <c r="C14" i="3"/>
  <c r="L12" i="4"/>
  <c r="M12" i="4" s="1"/>
  <c r="D14" i="3" l="1"/>
  <c r="B27" i="3" s="1"/>
  <c r="C27" i="3" s="1"/>
  <c r="D27" i="3" s="1"/>
  <c r="I7" i="3"/>
  <c r="I8" i="3"/>
</calcChain>
</file>

<file path=xl/sharedStrings.xml><?xml version="1.0" encoding="utf-8"?>
<sst xmlns="http://schemas.openxmlformats.org/spreadsheetml/2006/main" count="17068" uniqueCount="1151">
  <si>
    <t>insee_com</t>
  </si>
  <si>
    <t>nom_com</t>
  </si>
  <si>
    <t>num_epci</t>
  </si>
  <si>
    <t>lib_epci</t>
  </si>
  <si>
    <t>alea</t>
  </si>
  <si>
    <t>source</t>
  </si>
  <si>
    <t>superficie</t>
  </si>
  <si>
    <t>30004</t>
  </si>
  <si>
    <t>AIGUES-VIVES</t>
  </si>
  <si>
    <t>243000569</t>
  </si>
  <si>
    <t>CC Rhony, Vistre, Vidourle</t>
  </si>
  <si>
    <t>PPRI</t>
  </si>
  <si>
    <t>30205</t>
  </si>
  <si>
    <t>POUGNADORESSE</t>
  </si>
  <si>
    <t>200034379</t>
  </si>
  <si>
    <t>Fort</t>
  </si>
  <si>
    <t>30103</t>
  </si>
  <si>
    <t>DOMAZAN</t>
  </si>
  <si>
    <t>243000684</t>
  </si>
  <si>
    <t>CC du Pont du Gard</t>
  </si>
  <si>
    <t>30328</t>
  </si>
  <si>
    <t>THEZIERS</t>
  </si>
  <si>
    <t>30204</t>
  </si>
  <si>
    <t>POTELIERES</t>
  </si>
  <si>
    <t>200035129</t>
  </si>
  <si>
    <t>30309</t>
  </si>
  <si>
    <t>SARDAN</t>
  </si>
  <si>
    <t>200034411</t>
  </si>
  <si>
    <t>30240</t>
  </si>
  <si>
    <t>SAINT-CESAIRE-DE-GAUZIGNAN</t>
  </si>
  <si>
    <t>200066918</t>
  </si>
  <si>
    <t>30059</t>
  </si>
  <si>
    <t>LE CAILAR</t>
  </si>
  <si>
    <t>243000593</t>
  </si>
  <si>
    <t>CC de Petite Camargue</t>
  </si>
  <si>
    <t>S_INON_LR</t>
  </si>
  <si>
    <t>30083</t>
  </si>
  <si>
    <t>CODOGNAN</t>
  </si>
  <si>
    <t>30008</t>
  </si>
  <si>
    <t>ALLEGRE-LES-FUMADES</t>
  </si>
  <si>
    <t>30307</t>
  </si>
  <si>
    <t>LES SALLES-DU-GARDON</t>
  </si>
  <si>
    <t>30080</t>
  </si>
  <si>
    <t>CHAMBORIGAUD</t>
  </si>
  <si>
    <t>30062</t>
  </si>
  <si>
    <t>CALVISSON</t>
  </si>
  <si>
    <t>243000296</t>
  </si>
  <si>
    <t>30323</t>
  </si>
  <si>
    <t>SOUSTELLE</t>
  </si>
  <si>
    <t>30142</t>
  </si>
  <si>
    <t>LAVAL-PRADEL</t>
  </si>
  <si>
    <t>30151</t>
  </si>
  <si>
    <t>LUSSAN</t>
  </si>
  <si>
    <t>30261</t>
  </si>
  <si>
    <t>SAINT-HIPPOLYTE-DE-CATON</t>
  </si>
  <si>
    <t>30248</t>
  </si>
  <si>
    <t>SAINT-DEZERY</t>
  </si>
  <si>
    <t>30091</t>
  </si>
  <si>
    <t>CONGENIES</t>
  </si>
  <si>
    <t>30344</t>
  </si>
  <si>
    <t>VERGEZE</t>
  </si>
  <si>
    <t>30331</t>
  </si>
  <si>
    <t>TRESQUES</t>
  </si>
  <si>
    <t>200034692</t>
  </si>
  <si>
    <t>CA du Gard Rhodanien</t>
  </si>
  <si>
    <t>30210</t>
  </si>
  <si>
    <t>QUISSAC</t>
  </si>
  <si>
    <t>30223</t>
  </si>
  <si>
    <t>ROUSSON</t>
  </si>
  <si>
    <t>30056</t>
  </si>
  <si>
    <t>LA BRUGUIERE</t>
  </si>
  <si>
    <t>30355</t>
  </si>
  <si>
    <t>SAINT-PAUL-LES-FONTS</t>
  </si>
  <si>
    <t>30221</t>
  </si>
  <si>
    <t>ROQUEMAURE</t>
  </si>
  <si>
    <t>248400251</t>
  </si>
  <si>
    <t>CA du Grand Avignon (COGA)</t>
  </si>
  <si>
    <t>PAC Rhone</t>
  </si>
  <si>
    <t>30255</t>
  </si>
  <si>
    <t>SAINT-GENIES-DE-MALGOIRES</t>
  </si>
  <si>
    <t>243000643</t>
  </si>
  <si>
    <t>30115</t>
  </si>
  <si>
    <t>FONTARECHES</t>
  </si>
  <si>
    <t>30047</t>
  </si>
  <si>
    <t>BOUILLARGUES</t>
  </si>
  <si>
    <t>30179</t>
  </si>
  <si>
    <t>MONTFRIN</t>
  </si>
  <si>
    <t>30169</t>
  </si>
  <si>
    <t>MILHAUD</t>
  </si>
  <si>
    <t>30308</t>
  </si>
  <si>
    <t>SANILHAC-SAGRIES</t>
  </si>
  <si>
    <t>30095</t>
  </si>
  <si>
    <t>CORCONNE</t>
  </si>
  <si>
    <t>30214</t>
  </si>
  <si>
    <t>RIBAUTE-LES-TAVERNES</t>
  </si>
  <si>
    <t>30188</t>
  </si>
  <si>
    <t>NERS</t>
  </si>
  <si>
    <t>30351</t>
  </si>
  <si>
    <t>VILLENEUVE-LES-AVIGNON</t>
  </si>
  <si>
    <t>30235</t>
  </si>
  <si>
    <t>SAINT-BONNET-DU-GARD</t>
  </si>
  <si>
    <t>30333</t>
  </si>
  <si>
    <t>UCHAUD</t>
  </si>
  <si>
    <t>30093</t>
  </si>
  <si>
    <t>CONQUEYRAC</t>
  </si>
  <si>
    <t>S_INOP_LR</t>
  </si>
  <si>
    <t>30197</t>
  </si>
  <si>
    <t>LES PLANS</t>
  </si>
  <si>
    <t>30260</t>
  </si>
  <si>
    <t>SAINT-HILAIRE-D'OZILHAN</t>
  </si>
  <si>
    <t>30203</t>
  </si>
  <si>
    <t>PORTES</t>
  </si>
  <si>
    <t>30254</t>
  </si>
  <si>
    <t>SAINT-GENIES-DE-COMOLAS</t>
  </si>
  <si>
    <t>30066</t>
  </si>
  <si>
    <t>CANNES-ET-CLAIRAN</t>
  </si>
  <si>
    <t>30075</t>
  </si>
  <si>
    <t>CAVEIRAC</t>
  </si>
  <si>
    <t>30037</t>
  </si>
  <si>
    <t>BESSEGES</t>
  </si>
  <si>
    <t>30077</t>
  </si>
  <si>
    <t>CENDRAS</t>
  </si>
  <si>
    <t>30348</t>
  </si>
  <si>
    <t>VEZENOBRES</t>
  </si>
  <si>
    <t>30010</t>
  </si>
  <si>
    <t>ANDUZE</t>
  </si>
  <si>
    <t>30347</t>
  </si>
  <si>
    <t>VESTRIC-ET-CANDIAC</t>
  </si>
  <si>
    <t>30228</t>
  </si>
  <si>
    <t>SAINTE-ANASTASIE</t>
  </si>
  <si>
    <t>30342</t>
  </si>
  <si>
    <t>VENEJAN</t>
  </si>
  <si>
    <t>30051</t>
  </si>
  <si>
    <t>BRANOUX-LES-TAILLADES</t>
  </si>
  <si>
    <t>30301</t>
  </si>
  <si>
    <t>SAINT-VICTOR-DES-OULES</t>
  </si>
  <si>
    <t>30146</t>
  </si>
  <si>
    <t>LEDIGNAN</t>
  </si>
  <si>
    <t>30231</t>
  </si>
  <si>
    <t>SAINT-ANDRE-DE-VALBORGNE</t>
  </si>
  <si>
    <t>200034601</t>
  </si>
  <si>
    <t>30193</t>
  </si>
  <si>
    <t>PARIGNARGUES</t>
  </si>
  <si>
    <t>30070</t>
  </si>
  <si>
    <t>CARSAN</t>
  </si>
  <si>
    <t>30049</t>
  </si>
  <si>
    <t>BOURDIC</t>
  </si>
  <si>
    <t>30349</t>
  </si>
  <si>
    <t>VIC-LE-FESQ</t>
  </si>
  <si>
    <t>30110</t>
  </si>
  <si>
    <t>FLAUX</t>
  </si>
  <si>
    <t>30266</t>
  </si>
  <si>
    <t>SAINT-JEAN-DE-MARUEJOLS-ET-AVEJAN</t>
  </si>
  <si>
    <t>30258</t>
  </si>
  <si>
    <t>SAINT-GILLES</t>
  </si>
  <si>
    <t>30154</t>
  </si>
  <si>
    <t>MANDAGOUT</t>
  </si>
  <si>
    <t>243000270</t>
  </si>
  <si>
    <t>CC du Pays Viganais</t>
  </si>
  <si>
    <t>30332</t>
  </si>
  <si>
    <t>TREVES</t>
  </si>
  <si>
    <t>30180</t>
  </si>
  <si>
    <t>MONTIGNARGUES</t>
  </si>
  <si>
    <t>30030</t>
  </si>
  <si>
    <t>BARON</t>
  </si>
  <si>
    <t>30101</t>
  </si>
  <si>
    <t>DEAUX</t>
  </si>
  <si>
    <t>30020</t>
  </si>
  <si>
    <t>AUBORD</t>
  </si>
  <si>
    <t>30224</t>
  </si>
  <si>
    <t>LA ROUVIERE</t>
  </si>
  <si>
    <t>30259</t>
  </si>
  <si>
    <t>SAINT-HILAIRE-DE-BRETHMAS</t>
  </si>
  <si>
    <t>30043</t>
  </si>
  <si>
    <t>BOISSIERES</t>
  </si>
  <si>
    <t>30155</t>
  </si>
  <si>
    <t>MANDUEL</t>
  </si>
  <si>
    <t>30149</t>
  </si>
  <si>
    <t>LIRAC</t>
  </si>
  <si>
    <t>30173</t>
  </si>
  <si>
    <t>MONS</t>
  </si>
  <si>
    <t>30286</t>
  </si>
  <si>
    <t>SAINT-MAXIMIN</t>
  </si>
  <si>
    <t>30029</t>
  </si>
  <si>
    <t>BARJAC</t>
  </si>
  <si>
    <t>30249</t>
  </si>
  <si>
    <t>SAINT-DIONISY</t>
  </si>
  <si>
    <t>30117</t>
  </si>
  <si>
    <t>FOURQUES</t>
  </si>
  <si>
    <t>243000585</t>
  </si>
  <si>
    <t>CC Beaucaire Terre d'Argence</t>
  </si>
  <si>
    <t>30315</t>
  </si>
  <si>
    <t>SAZE</t>
  </si>
  <si>
    <t>30032</t>
  </si>
  <si>
    <t>BEAUCAIRE</t>
  </si>
  <si>
    <t>30233</t>
  </si>
  <si>
    <t>SAINT-BAUZELY</t>
  </si>
  <si>
    <t>30270</t>
  </si>
  <si>
    <t>SAINT-JEAN-DU-PIN</t>
  </si>
  <si>
    <t>30111</t>
  </si>
  <si>
    <t>FOISSAC</t>
  </si>
  <si>
    <t>30281</t>
  </si>
  <si>
    <t>SAINT-MAMERT-DU-GARD</t>
  </si>
  <si>
    <t>30039</t>
  </si>
  <si>
    <t>BEZOUCE</t>
  </si>
  <si>
    <t>30295</t>
  </si>
  <si>
    <t>SAINT-QUENTIN-LA-POTERIE</t>
  </si>
  <si>
    <t>30006</t>
  </si>
  <si>
    <t>AIMARGUES</t>
  </si>
  <si>
    <t>30172</t>
  </si>
  <si>
    <t>MONOBLET</t>
  </si>
  <si>
    <t>30253</t>
  </si>
  <si>
    <t>SAINT-FLORENT-SUR-AUZONNET</t>
  </si>
  <si>
    <t>30164</t>
  </si>
  <si>
    <t>MEJANNES-LE-CLAP</t>
  </si>
  <si>
    <t>30131</t>
  </si>
  <si>
    <t>GOUDARGUES</t>
  </si>
  <si>
    <t>30291</t>
  </si>
  <si>
    <t>SAINT-PAUL-LA-COSTE</t>
  </si>
  <si>
    <t>30061</t>
  </si>
  <si>
    <t>LA CALMETTE</t>
  </si>
  <si>
    <t>30082</t>
  </si>
  <si>
    <t>CLARENSAC</t>
  </si>
  <si>
    <t>30128</t>
  </si>
  <si>
    <t>GENERAC</t>
  </si>
  <si>
    <t>30276</t>
  </si>
  <si>
    <t>SAINT-LAURENT-D'AIGOUZE</t>
  </si>
  <si>
    <t>243000650</t>
  </si>
  <si>
    <t>CC Terre de Camargue</t>
  </si>
  <si>
    <t>30211</t>
  </si>
  <si>
    <t>REDESSAN</t>
  </si>
  <si>
    <t>30096</t>
  </si>
  <si>
    <t>CORNILLON</t>
  </si>
  <si>
    <t>30183</t>
  </si>
  <si>
    <t>MOULEZAN</t>
  </si>
  <si>
    <t>30310</t>
  </si>
  <si>
    <t>SAUMANE</t>
  </si>
  <si>
    <t>30226</t>
  </si>
  <si>
    <t>SAINT-ALEXANDRE</t>
  </si>
  <si>
    <t>30290</t>
  </si>
  <si>
    <t>SAINT-PAULET-DE-CAISSON</t>
  </si>
  <si>
    <t>30250</t>
  </si>
  <si>
    <t>SAINT-ETIENNE-DE-L'OLM</t>
  </si>
  <si>
    <t>30306</t>
  </si>
  <si>
    <t>SALINELLES</t>
  </si>
  <si>
    <t>30123</t>
  </si>
  <si>
    <t>GALLARGUES-LE-MONTUEUX</t>
  </si>
  <si>
    <t>30352</t>
  </si>
  <si>
    <t>VILLEVIEILLE</t>
  </si>
  <si>
    <t>30321</t>
  </si>
  <si>
    <t>SOMMIERES</t>
  </si>
  <si>
    <t>30182</t>
  </si>
  <si>
    <t>MONTPEZAT</t>
  </si>
  <si>
    <t>30318</t>
  </si>
  <si>
    <t>SERVAS</t>
  </si>
  <si>
    <t>30305</t>
  </si>
  <si>
    <t>SALINDRES</t>
  </si>
  <si>
    <t>30113</t>
  </si>
  <si>
    <t>FONS-SUR-LUSSAN</t>
  </si>
  <si>
    <t>30243</t>
  </si>
  <si>
    <t>SAINT-CHRISTOL-LEZ-ALES</t>
  </si>
  <si>
    <t>30160</t>
  </si>
  <si>
    <t>MARUEJOLS-LES-GARDON</t>
  </si>
  <si>
    <t>30055</t>
  </si>
  <si>
    <t>BROUZET-LES-ALES</t>
  </si>
  <si>
    <t>30292</t>
  </si>
  <si>
    <t>SAINT-PONS-LA-CALM</t>
  </si>
  <si>
    <t>30031</t>
  </si>
  <si>
    <t>LA BASTIDE-D'ENGRAS</t>
  </si>
  <si>
    <t>30185</t>
  </si>
  <si>
    <t>MUS</t>
  </si>
  <si>
    <t>30288</t>
  </si>
  <si>
    <t>SAINT-NAZAIRE</t>
  </si>
  <si>
    <t>30122</t>
  </si>
  <si>
    <t>GAJAN</t>
  </si>
  <si>
    <t>30084</t>
  </si>
  <si>
    <t>CODOLET</t>
  </si>
  <si>
    <t>30181</t>
  </si>
  <si>
    <t>MONTMIRAT</t>
  </si>
  <si>
    <t>30346</t>
  </si>
  <si>
    <t>VERS-PONT-DU-GARD</t>
  </si>
  <si>
    <t>30046</t>
  </si>
  <si>
    <t>BOUCOIRAN-ET-NOZIERES</t>
  </si>
  <si>
    <t>30150</t>
  </si>
  <si>
    <t>LOGRIAN-FLORIAN</t>
  </si>
  <si>
    <t>30021</t>
  </si>
  <si>
    <t>AUBUSSARGUES</t>
  </si>
  <si>
    <t>30012</t>
  </si>
  <si>
    <t>ARAMON</t>
  </si>
  <si>
    <t>30076</t>
  </si>
  <si>
    <t>CAVILLARGUES</t>
  </si>
  <si>
    <t>30120</t>
  </si>
  <si>
    <t>GAGNIERES</t>
  </si>
  <si>
    <t>30343</t>
  </si>
  <si>
    <t>VERFEUIL</t>
  </si>
  <si>
    <t>30202</t>
  </si>
  <si>
    <t>PONT-SAINT-ESPRIT</t>
  </si>
  <si>
    <t>30098</t>
  </si>
  <si>
    <t>CRESPIAN</t>
  </si>
  <si>
    <t>30206</t>
  </si>
  <si>
    <t>POULX</t>
  </si>
  <si>
    <t>30014</t>
  </si>
  <si>
    <t>ARPAILLARGUES-ET-AUREILLAC</t>
  </si>
  <si>
    <t>30132</t>
  </si>
  <si>
    <t>LA GRAND-COMBE</t>
  </si>
  <si>
    <t>30156</t>
  </si>
  <si>
    <t>MARGUERITTES</t>
  </si>
  <si>
    <t>30317</t>
  </si>
  <si>
    <t>SERNHAC</t>
  </si>
  <si>
    <t>30092</t>
  </si>
  <si>
    <t>CONNAUX</t>
  </si>
  <si>
    <t>30140</t>
  </si>
  <si>
    <t>LASALLE</t>
  </si>
  <si>
    <t>30139</t>
  </si>
  <si>
    <t>LANUEJOLS</t>
  </si>
  <si>
    <t>30282</t>
  </si>
  <si>
    <t>SAINT-MARCEL-DE-CAREIRET</t>
  </si>
  <si>
    <t>30247</t>
  </si>
  <si>
    <t>SAINT-DENIS</t>
  </si>
  <si>
    <t>30152</t>
  </si>
  <si>
    <t>LES MAGES</t>
  </si>
  <si>
    <t>30028</t>
  </si>
  <si>
    <t>BAGNOLS-SUR-CEZE</t>
  </si>
  <si>
    <t>30356</t>
  </si>
  <si>
    <t>RODILHAN</t>
  </si>
  <si>
    <t>30036</t>
  </si>
  <si>
    <t>BERNIS</t>
  </si>
  <si>
    <t>30225</t>
  </si>
  <si>
    <t>SABRAN</t>
  </si>
  <si>
    <t>30239</t>
  </si>
  <si>
    <t>SAINTE-CECILE-D'ANDORGE</t>
  </si>
  <si>
    <t>30085</t>
  </si>
  <si>
    <t>COLLIAS</t>
  </si>
  <si>
    <t>30209</t>
  </si>
  <si>
    <t>PUJAUT</t>
  </si>
  <si>
    <t>30313</t>
  </si>
  <si>
    <t>SAUZET</t>
  </si>
  <si>
    <t>30229</t>
  </si>
  <si>
    <t>SAINT-ANDRE-DE-MAJENCOULES</t>
  </si>
  <si>
    <t>30327</t>
  </si>
  <si>
    <t>THARAUX</t>
  </si>
  <si>
    <t>30186</t>
  </si>
  <si>
    <t>NAGES-ET-SOLORGUES</t>
  </si>
  <si>
    <t>30133</t>
  </si>
  <si>
    <t>LE GRAU-DU-ROI</t>
  </si>
  <si>
    <t>30159</t>
  </si>
  <si>
    <t>LE MARTINET</t>
  </si>
  <si>
    <t>30107</t>
  </si>
  <si>
    <t>ESTEZARGUES</t>
  </si>
  <si>
    <t>30072</t>
  </si>
  <si>
    <t>CASTELNAU-VALENCE</t>
  </si>
  <si>
    <t>30174</t>
  </si>
  <si>
    <t>MONTAREN-ET-SAINT-MEDIERS</t>
  </si>
  <si>
    <t>30079</t>
  </si>
  <si>
    <t>CHAMBON</t>
  </si>
  <si>
    <t>30274</t>
  </si>
  <si>
    <t>SAINT-JULIEN-LES-ROSIERS</t>
  </si>
  <si>
    <t>30184</t>
  </si>
  <si>
    <t>MOUSSAC</t>
  </si>
  <si>
    <t>30275</t>
  </si>
  <si>
    <t>SAINT-JUST-ET-VACQUIERES</t>
  </si>
  <si>
    <t>30033</t>
  </si>
  <si>
    <t>BEAUVOISIN</t>
  </si>
  <si>
    <t>30207</t>
  </si>
  <si>
    <t>POUZILHAC</t>
  </si>
  <si>
    <t>30322</t>
  </si>
  <si>
    <t>SOUDORGUES</t>
  </si>
  <si>
    <t>30297</t>
  </si>
  <si>
    <t>SAINT-SAUVEUR-CAMPRIEU</t>
  </si>
  <si>
    <t>30262</t>
  </si>
  <si>
    <t>SAINT-HIPPOLYTE-DE-MONTAIGU</t>
  </si>
  <si>
    <t>30271</t>
  </si>
  <si>
    <t>SAINT-JULIEN-DE-CASSAGNAS</t>
  </si>
  <si>
    <t>30279</t>
  </si>
  <si>
    <t>SAINT-LAURENT-LA-VERNEDE</t>
  </si>
  <si>
    <t>30116</t>
  </si>
  <si>
    <t>FOURNES</t>
  </si>
  <si>
    <t>30216</t>
  </si>
  <si>
    <t>ROBIAC-ROCHESSADOULE</t>
  </si>
  <si>
    <t>30027</t>
  </si>
  <si>
    <t>BAGARD</t>
  </si>
  <si>
    <t>30192</t>
  </si>
  <si>
    <t>ORTHOUX-SERIGNAC-QUILHAN</t>
  </si>
  <si>
    <t>30336</t>
  </si>
  <si>
    <t>VALLABREGUES</t>
  </si>
  <si>
    <t>30177</t>
  </si>
  <si>
    <t>MONTEILS</t>
  </si>
  <si>
    <t>30294</t>
  </si>
  <si>
    <t>SAINT-PRIVAT-DES-VIEUX</t>
  </si>
  <si>
    <t>30041</t>
  </si>
  <si>
    <t>BLAUZAC</t>
  </si>
  <si>
    <t>30035</t>
  </si>
  <si>
    <t>BELVEZET</t>
  </si>
  <si>
    <t>30166</t>
  </si>
  <si>
    <t>MEYNES</t>
  </si>
  <si>
    <t>30064</t>
  </si>
  <si>
    <t>CAMPESTRE-ET-LUC</t>
  </si>
  <si>
    <t>30017</t>
  </si>
  <si>
    <t>ARRIGAS</t>
  </si>
  <si>
    <t>30256</t>
  </si>
  <si>
    <t>SAINT-GERVAIS</t>
  </si>
  <si>
    <t>30319</t>
  </si>
  <si>
    <t>SERVIERS-ET-LABAUME</t>
  </si>
  <si>
    <t>30338</t>
  </si>
  <si>
    <t>VALLERARGUES</t>
  </si>
  <si>
    <t>30285</t>
  </si>
  <si>
    <t>SAINT-MAURICE-DE-CAZEVIEILLE</t>
  </si>
  <si>
    <t>30353</t>
  </si>
  <si>
    <t>VISSEC</t>
  </si>
  <si>
    <t>30325</t>
  </si>
  <si>
    <t>SUMENE</t>
  </si>
  <si>
    <t>243400736</t>
  </si>
  <si>
    <t>30003</t>
  </si>
  <si>
    <t>AIGUES-MORTES</t>
  </si>
  <si>
    <t>30189</t>
  </si>
  <si>
    <t>NIMES</t>
  </si>
  <si>
    <t>30121</t>
  </si>
  <si>
    <t>GAILHAN</t>
  </si>
  <si>
    <t>30141</t>
  </si>
  <si>
    <t>LAUDUN-L'ARDOISE</t>
  </si>
  <si>
    <t>30212</t>
  </si>
  <si>
    <t>REMOULINS</t>
  </si>
  <si>
    <t>30127</t>
  </si>
  <si>
    <t>GAUJAC</t>
  </si>
  <si>
    <t>30165</t>
  </si>
  <si>
    <t>MEJANNES-LES-ALES</t>
  </si>
  <si>
    <t>30089</t>
  </si>
  <si>
    <t>COMPS</t>
  </si>
  <si>
    <t>30334</t>
  </si>
  <si>
    <t>UZES</t>
  </si>
  <si>
    <t>30009</t>
  </si>
  <si>
    <t>ALZON</t>
  </si>
  <si>
    <t>30268</t>
  </si>
  <si>
    <t>SAINT-JEAN-DE-VALERISCLE</t>
  </si>
  <si>
    <t>30145</t>
  </si>
  <si>
    <t>LEDENON</t>
  </si>
  <si>
    <t>30052</t>
  </si>
  <si>
    <t>BREAU-MARS</t>
  </si>
  <si>
    <t>30019</t>
  </si>
  <si>
    <t>AUBAIS</t>
  </si>
  <si>
    <t>30219</t>
  </si>
  <si>
    <t>ROGUES</t>
  </si>
  <si>
    <t>30067</t>
  </si>
  <si>
    <t>LA CAPELLE-ET-MASMOLENE</t>
  </si>
  <si>
    <t>30097</t>
  </si>
  <si>
    <t>COURRY</t>
  </si>
  <si>
    <t>30048</t>
  </si>
  <si>
    <t>BOUQUET</t>
  </si>
  <si>
    <t>30241</t>
  </si>
  <si>
    <t>SAINT-CHAPTES</t>
  </si>
  <si>
    <t>30001</t>
  </si>
  <si>
    <t>AIGALIERS</t>
  </si>
  <si>
    <t>30007</t>
  </si>
  <si>
    <t>ALES</t>
  </si>
  <si>
    <t>30340</t>
  </si>
  <si>
    <t>VALLIGUIERES</t>
  </si>
  <si>
    <t>30269</t>
  </si>
  <si>
    <t>SAINT-JEAN-DU-GARD</t>
  </si>
  <si>
    <t>30251</t>
  </si>
  <si>
    <t>SAINT-ETIENNE-DES-SORTS</t>
  </si>
  <si>
    <t>30320</t>
  </si>
  <si>
    <t>SEYNES</t>
  </si>
  <si>
    <t>30025</t>
  </si>
  <si>
    <t>AUMESSAS</t>
  </si>
  <si>
    <t>30311</t>
  </si>
  <si>
    <t>SAUVE</t>
  </si>
  <si>
    <t>30191</t>
  </si>
  <si>
    <t>ORSAN</t>
  </si>
  <si>
    <t>30312</t>
  </si>
  <si>
    <t>SAUVETERRE</t>
  </si>
  <si>
    <t>30022</t>
  </si>
  <si>
    <t>AUJAC</t>
  </si>
  <si>
    <t>30013</t>
  </si>
  <si>
    <t>ARGILLIERS</t>
  </si>
  <si>
    <t>30168</t>
  </si>
  <si>
    <t>MIALET</t>
  </si>
  <si>
    <t>30073</t>
  </si>
  <si>
    <t>CASTILLON-DU-GARD</t>
  </si>
  <si>
    <t>30138</t>
  </si>
  <si>
    <t>LANGLADE</t>
  </si>
  <si>
    <t>30175</t>
  </si>
  <si>
    <t>MONTCLUS</t>
  </si>
  <si>
    <t>30143</t>
  </si>
  <si>
    <t>LAVAL-SAINT-ROMAN</t>
  </si>
  <si>
    <t>30257</t>
  </si>
  <si>
    <t>SAINT-GERVASY</t>
  </si>
  <si>
    <t>30104</t>
  </si>
  <si>
    <t>DOMESSARGUES</t>
  </si>
  <si>
    <t>30015</t>
  </si>
  <si>
    <t>ARPHY</t>
  </si>
  <si>
    <t>30339</t>
  </si>
  <si>
    <t>VAL-D'AIGOUAL</t>
  </si>
  <si>
    <t>30337</t>
  </si>
  <si>
    <t>VALLABRIX</t>
  </si>
  <si>
    <t>30114</t>
  </si>
  <si>
    <t>FONTANES</t>
  </si>
  <si>
    <t>30304</t>
  </si>
  <si>
    <t>SALAZAC</t>
  </si>
  <si>
    <t>30341</t>
  </si>
  <si>
    <t>VAUVERT</t>
  </si>
  <si>
    <t>30201</t>
  </si>
  <si>
    <t>PONTEILS-ET-BRESIS</t>
  </si>
  <si>
    <t>200069128</t>
  </si>
  <si>
    <t>30196</t>
  </si>
  <si>
    <t>LE PIN</t>
  </si>
  <si>
    <t>30065</t>
  </si>
  <si>
    <t>CANAULES-ET-ARGENTIERES</t>
  </si>
  <si>
    <t>30245</t>
  </si>
  <si>
    <t>SAINT-COME-ET-MARUEJOLS</t>
  </si>
  <si>
    <t>30237</t>
  </si>
  <si>
    <t>SAINT-BRES</t>
  </si>
  <si>
    <t>30002</t>
  </si>
  <si>
    <t>AIGREMONT</t>
  </si>
  <si>
    <t>30135</t>
  </si>
  <si>
    <t>JONQUIERES-SAINT-VINCENT</t>
  </si>
  <si>
    <t>30054</t>
  </si>
  <si>
    <t>BROUZET-LES-QUISSAC</t>
  </si>
  <si>
    <t>30194</t>
  </si>
  <si>
    <t>PEYREMALE</t>
  </si>
  <si>
    <t>30060</t>
  </si>
  <si>
    <t>CAISSARGUES</t>
  </si>
  <si>
    <t>30106</t>
  </si>
  <si>
    <t>DURFORT-ET-SAINT-MARTIN-DE-SOSSENAC</t>
  </si>
  <si>
    <t>30144</t>
  </si>
  <si>
    <t>LECQUES</t>
  </si>
  <si>
    <t>30081</t>
  </si>
  <si>
    <t>CHUSCLAN</t>
  </si>
  <si>
    <t>30108</t>
  </si>
  <si>
    <t>L'ESTRECHURE</t>
  </si>
  <si>
    <t>30102</t>
  </si>
  <si>
    <t>DIONS</t>
  </si>
  <si>
    <t>30171</t>
  </si>
  <si>
    <t>MOLIERES-SUR-CEZE</t>
  </si>
  <si>
    <t>30296</t>
  </si>
  <si>
    <t>SAINT-ROMAN-DE-CODIERES</t>
  </si>
  <si>
    <t>30153</t>
  </si>
  <si>
    <t>MALONS-ET-ELZE</t>
  </si>
  <si>
    <t>30278</t>
  </si>
  <si>
    <t>SAINT-LAURENT-DES-ARBRES</t>
  </si>
  <si>
    <t>30303</t>
  </si>
  <si>
    <t>SAINT-VICTOR-DE-MALCAP</t>
  </si>
  <si>
    <t>30316</t>
  </si>
  <si>
    <t>SENECHAS</t>
  </si>
  <si>
    <t>30198</t>
  </si>
  <si>
    <t>LES PLANTIERS</t>
  </si>
  <si>
    <t>30263</t>
  </si>
  <si>
    <t>SAINT-HIPPOLYTE-DU-FORT</t>
  </si>
  <si>
    <t>30126</t>
  </si>
  <si>
    <t>GARRIGUES-SAINTE-EULALIE</t>
  </si>
  <si>
    <t>30273</t>
  </si>
  <si>
    <t>SAINT-JULIEN-DE-PEYROLAS</t>
  </si>
  <si>
    <t>30053</t>
  </si>
  <si>
    <t>BRIGNON</t>
  </si>
  <si>
    <t>30125</t>
  </si>
  <si>
    <t>GARONS</t>
  </si>
  <si>
    <t>30005</t>
  </si>
  <si>
    <t>AIGUEZE</t>
  </si>
  <si>
    <t>30300</t>
  </si>
  <si>
    <t>SAINT-THEODORIT</t>
  </si>
  <si>
    <t>30099</t>
  </si>
  <si>
    <t>CROS</t>
  </si>
  <si>
    <t>30227</t>
  </si>
  <si>
    <t>SAINT-AMBROIX</t>
  </si>
  <si>
    <t>30187</t>
  </si>
  <si>
    <t>NAVACELLES</t>
  </si>
  <si>
    <t>30034</t>
  </si>
  <si>
    <t>BELLEGARDE</t>
  </si>
  <si>
    <t>30134</t>
  </si>
  <si>
    <t>ISSIRAC</t>
  </si>
  <si>
    <t>30218</t>
  </si>
  <si>
    <t>ROCHEGUDE</t>
  </si>
  <si>
    <t>30124</t>
  </si>
  <si>
    <t>LE GARN</t>
  </si>
  <si>
    <t>30230</t>
  </si>
  <si>
    <t>SAINT-ANDRE-DE-ROQUEPERTUIS</t>
  </si>
  <si>
    <t>30284</t>
  </si>
  <si>
    <t>SAINT-MARTIN-DE-VALGALGUES</t>
  </si>
  <si>
    <t>30215</t>
  </si>
  <si>
    <t>RIVIERES</t>
  </si>
  <si>
    <t>30299</t>
  </si>
  <si>
    <t>SAINT-SIFFRET</t>
  </si>
  <si>
    <t>30330</t>
  </si>
  <si>
    <t>TORNAC</t>
  </si>
  <si>
    <t>30057</t>
  </si>
  <si>
    <t>CABRIERES</t>
  </si>
  <si>
    <t>30040</t>
  </si>
  <si>
    <t>BLANDAS</t>
  </si>
  <si>
    <t>30069</t>
  </si>
  <si>
    <t>CARNAS</t>
  </si>
  <si>
    <t>30167</t>
  </si>
  <si>
    <t>MEYRANNES</t>
  </si>
  <si>
    <t>30200</t>
  </si>
  <si>
    <t>POMPIGNAN</t>
  </si>
  <si>
    <t>30293</t>
  </si>
  <si>
    <t>SAINT-PRIVAT-DE-CHAMPCLOS</t>
  </si>
  <si>
    <t>30147</t>
  </si>
  <si>
    <t>LEZAN</t>
  </si>
  <si>
    <t>30213</t>
  </si>
  <si>
    <t>REVENS</t>
  </si>
  <si>
    <t>30217</t>
  </si>
  <si>
    <t>ROCHEFORT-DU-GARD</t>
  </si>
  <si>
    <t>30283</t>
  </si>
  <si>
    <t>SAINT-MARTIAL</t>
  </si>
  <si>
    <t>30324</t>
  </si>
  <si>
    <t>SOUVIGNARGUES</t>
  </si>
  <si>
    <t>30023</t>
  </si>
  <si>
    <t>AUJARGUES</t>
  </si>
  <si>
    <t>30265</t>
  </si>
  <si>
    <t>SAINT-JEAN-DE-CRIEULON</t>
  </si>
  <si>
    <t>30011</t>
  </si>
  <si>
    <t>LES ANGLES</t>
  </si>
  <si>
    <t>30045</t>
  </si>
  <si>
    <t>BORDEZAC</t>
  </si>
  <si>
    <t>30074</t>
  </si>
  <si>
    <t>CAUSSE-BEGON</t>
  </si>
  <si>
    <t>30329</t>
  </si>
  <si>
    <t>THOIRAS</t>
  </si>
  <si>
    <t>30130</t>
  </si>
  <si>
    <t>GENOLHAC</t>
  </si>
  <si>
    <t>30068</t>
  </si>
  <si>
    <t>CARDET</t>
  </si>
  <si>
    <t>30038</t>
  </si>
  <si>
    <t>BEZ-ET-ESPARON</t>
  </si>
  <si>
    <t>30162</t>
  </si>
  <si>
    <t>MASSILLARGUES-ATTUECH</t>
  </si>
  <si>
    <t>30272</t>
  </si>
  <si>
    <t>SAINT-JULIEN-DE-LA-NEF</t>
  </si>
  <si>
    <t>30088</t>
  </si>
  <si>
    <t>COMBAS</t>
  </si>
  <si>
    <t>30136</t>
  </si>
  <si>
    <t>JUNAS</t>
  </si>
  <si>
    <t>30129</t>
  </si>
  <si>
    <t>GENERARGUES</t>
  </si>
  <si>
    <t>30176</t>
  </si>
  <si>
    <t>MONTDARDIER</t>
  </si>
  <si>
    <t>30090</t>
  </si>
  <si>
    <t>CONCOULES</t>
  </si>
  <si>
    <t>30350</t>
  </si>
  <si>
    <t>LE VIGAN</t>
  </si>
  <si>
    <t>30289</t>
  </si>
  <si>
    <t>SAINT-NAZAIRE-DES-GARDIES</t>
  </si>
  <si>
    <t>30287</t>
  </si>
  <si>
    <t>SAINT-MICHEL-D'EUZET</t>
  </si>
  <si>
    <t>30232</t>
  </si>
  <si>
    <t>SAINT-ANDRE-D'OLERARGUES</t>
  </si>
  <si>
    <t>30222</t>
  </si>
  <si>
    <t>LA ROQUE-SUR-CEZE</t>
  </si>
  <si>
    <t>30161</t>
  </si>
  <si>
    <t>MASSANES</t>
  </si>
  <si>
    <t>30326</t>
  </si>
  <si>
    <t>TAVEL</t>
  </si>
  <si>
    <t>30042</t>
  </si>
  <si>
    <t>BOISSET-ET-GAUJAC</t>
  </si>
  <si>
    <t>30071</t>
  </si>
  <si>
    <t>CASSAGNOLES</t>
  </si>
  <si>
    <t>30112</t>
  </si>
  <si>
    <t>FONS</t>
  </si>
  <si>
    <t>30277</t>
  </si>
  <si>
    <t>SAINT-LAURENT-DE-CARNOLS</t>
  </si>
  <si>
    <t>30163</t>
  </si>
  <si>
    <t>MAURESSARGUES</t>
  </si>
  <si>
    <t>30280</t>
  </si>
  <si>
    <t>SAINT-LAURENT-LE-MINIER</t>
  </si>
  <si>
    <t>30242</t>
  </si>
  <si>
    <t>SAINT-CHRISTOL-DE-RODIERES</t>
  </si>
  <si>
    <t>30119</t>
  </si>
  <si>
    <t>FRESSAC</t>
  </si>
  <si>
    <t>30018</t>
  </si>
  <si>
    <t>ASPERES</t>
  </si>
  <si>
    <t>30195</t>
  </si>
  <si>
    <t>PEYROLLES</t>
  </si>
  <si>
    <t>30148</t>
  </si>
  <si>
    <t>LIOUC</t>
  </si>
  <si>
    <t>30024</t>
  </si>
  <si>
    <t>AULAS</t>
  </si>
  <si>
    <t>30234</t>
  </si>
  <si>
    <t>SAINT-BENEZET</t>
  </si>
  <si>
    <t>30314</t>
  </si>
  <si>
    <t>SAVIGNARGUES</t>
  </si>
  <si>
    <t>30220</t>
  </si>
  <si>
    <t>ROQUEDUR</t>
  </si>
  <si>
    <t>ZI DREAL 2008</t>
  </si>
  <si>
    <t>30158</t>
  </si>
  <si>
    <t>MARTIGNARGUES</t>
  </si>
  <si>
    <t>30050</t>
  </si>
  <si>
    <t>BRAGASSARGUES</t>
  </si>
  <si>
    <t>30178</t>
  </si>
  <si>
    <t>MONTFAUCON</t>
  </si>
  <si>
    <t>30016</t>
  </si>
  <si>
    <t>ARRE</t>
  </si>
  <si>
    <t>30298</t>
  </si>
  <si>
    <t>SAINT-SEBASTIEN-D'AIGREFEUILLE</t>
  </si>
  <si>
    <t>30264</t>
  </si>
  <si>
    <t>SAINT-JEAN-DE-CEYRARGUES</t>
  </si>
  <si>
    <t>30100</t>
  </si>
  <si>
    <t>CRUVIERS-LASCOURS</t>
  </si>
  <si>
    <t>30137</t>
  </si>
  <si>
    <t>LAMELOUZE</t>
  </si>
  <si>
    <t>30105</t>
  </si>
  <si>
    <t>DOURBIES</t>
  </si>
  <si>
    <t>30252</t>
  </si>
  <si>
    <t>SAINT-FELIX-DE-PALLIERES</t>
  </si>
  <si>
    <t>30238</t>
  </si>
  <si>
    <t>SAINT-BRESSON</t>
  </si>
  <si>
    <t>30058</t>
  </si>
  <si>
    <t>LA CADIERE-ET-CAMBO</t>
  </si>
  <si>
    <t>30109</t>
  </si>
  <si>
    <t>EUZET</t>
  </si>
  <si>
    <t>30244</t>
  </si>
  <si>
    <t>SAINT-CLEMENT</t>
  </si>
  <si>
    <t>30199</t>
  </si>
  <si>
    <t>POMMIERS</t>
  </si>
  <si>
    <t>30026</t>
  </si>
  <si>
    <t>AVEZE</t>
  </si>
  <si>
    <t>30086</t>
  </si>
  <si>
    <t>COLLORGUES</t>
  </si>
  <si>
    <t>30236</t>
  </si>
  <si>
    <t>SAINT-BONNET-DE-SALENDRINQUE</t>
  </si>
  <si>
    <t>30170</t>
  </si>
  <si>
    <t>MOLIERES-CAVAILLAC</t>
  </si>
  <si>
    <t>30267</t>
  </si>
  <si>
    <t>SAINT-JEAN-DE-SERRES</t>
  </si>
  <si>
    <t>30094</t>
  </si>
  <si>
    <t>CORBES</t>
  </si>
  <si>
    <t>30302</t>
  </si>
  <si>
    <t>SAINT-VICTOR-LA-COSTE</t>
  </si>
  <si>
    <t>Indifférencié</t>
  </si>
  <si>
    <t>Modéré</t>
  </si>
  <si>
    <t>Résiduel</t>
  </si>
  <si>
    <t>Très fort</t>
  </si>
  <si>
    <t>Zone d'action mécanique des vagues</t>
  </si>
  <si>
    <t>Zone Activité Commerciale</t>
  </si>
  <si>
    <t>CA Alès agglomération</t>
  </si>
  <si>
    <t>CA Nîmes Métropole</t>
  </si>
  <si>
    <t>CC Causses Aigoual Cévennes</t>
  </si>
  <si>
    <t>CC de Cèze Cévennes</t>
  </si>
  <si>
    <t>CC Mont Lozère</t>
  </si>
  <si>
    <t>CC des Cévennes Gangeoises et Suménoises</t>
  </si>
  <si>
    <t>CC du Piémont Cévenol</t>
  </si>
  <si>
    <t>CC du Pays de Sommières</t>
  </si>
  <si>
    <t>CC Pays Uzès</t>
  </si>
  <si>
    <t>Aléa PPRI Alzon Seynes</t>
  </si>
  <si>
    <t>N°</t>
  </si>
  <si>
    <t>NUMERO</t>
  </si>
  <si>
    <t>NOM</t>
  </si>
  <si>
    <t>Bassin versant</t>
  </si>
  <si>
    <t>Confluence</t>
  </si>
  <si>
    <t>SURFACE en ha</t>
  </si>
  <si>
    <t>Ruissellement</t>
  </si>
  <si>
    <t>Action vagues</t>
  </si>
  <si>
    <t>Total ZI en ha</t>
  </si>
  <si>
    <t>% sup ZI</t>
  </si>
  <si>
    <t>action vagues</t>
  </si>
  <si>
    <t>Total ZI en aa</t>
  </si>
  <si>
    <t>Gardon</t>
  </si>
  <si>
    <t>Vidourle</t>
  </si>
  <si>
    <t>Camargue</t>
  </si>
  <si>
    <t>rhône+vidourle+vistre</t>
  </si>
  <si>
    <t>Vistre</t>
  </si>
  <si>
    <t>vistre+vidourle</t>
  </si>
  <si>
    <t>Ardèche</t>
  </si>
  <si>
    <t>Atlas</t>
  </si>
  <si>
    <t xml:space="preserve">AIMARGUES  </t>
  </si>
  <si>
    <t>vistre+vidourle+rhône</t>
  </si>
  <si>
    <t>ALLEGRE</t>
  </si>
  <si>
    <t>Cèze</t>
  </si>
  <si>
    <t>Hérault</t>
  </si>
  <si>
    <t>Rhône</t>
  </si>
  <si>
    <t>gardon+rhône</t>
  </si>
  <si>
    <t xml:space="preserve">ARGILLIERS </t>
  </si>
  <si>
    <t xml:space="preserve">Hérault </t>
  </si>
  <si>
    <t>hérault+tarn</t>
  </si>
  <si>
    <t>cèze+ardèche</t>
  </si>
  <si>
    <t xml:space="preserve">Rhône </t>
  </si>
  <si>
    <t>vistre+rhône</t>
  </si>
  <si>
    <t>rhône+vistre</t>
  </si>
  <si>
    <t>BEZ ET ESPARRON</t>
  </si>
  <si>
    <t>BONNEVAUX</t>
  </si>
  <si>
    <t>NON</t>
  </si>
  <si>
    <t>gardon+vistre</t>
  </si>
  <si>
    <t>rhône+vistre+ vidourle</t>
  </si>
  <si>
    <t>PPRI + Atlas</t>
  </si>
  <si>
    <t>CAMPESTRE ET LUC</t>
  </si>
  <si>
    <t>gardon+cèze</t>
  </si>
  <si>
    <t>rhône+ardèche</t>
  </si>
  <si>
    <t>Tarn-Dourbie</t>
  </si>
  <si>
    <t xml:space="preserve">PPRI </t>
  </si>
  <si>
    <t>cèze+rhône</t>
  </si>
  <si>
    <t>PAC Rhône + Atlas</t>
  </si>
  <si>
    <t>COLOGNAC</t>
  </si>
  <si>
    <t>vidourle+vistre</t>
  </si>
  <si>
    <t>gardon+vidourle</t>
  </si>
  <si>
    <t>FONS SUR LUSSAN</t>
  </si>
  <si>
    <t>rhône+vidourle</t>
  </si>
  <si>
    <t>JONQUIERES SAINT VINCENT</t>
  </si>
  <si>
    <t>LAUDUN</t>
  </si>
  <si>
    <t>LAVAL SAINT ROMAN</t>
  </si>
  <si>
    <t xml:space="preserve"> Ardèche</t>
  </si>
  <si>
    <t>MOLIERES CAVAILLAC</t>
  </si>
  <si>
    <t>MONTAGNAC</t>
  </si>
  <si>
    <t>PUECHREDON</t>
  </si>
  <si>
    <t>ROCHEFORT DU GARD</t>
  </si>
  <si>
    <t>SAINT ANDRE DE MAJENCOULES</t>
  </si>
  <si>
    <t>SAINT ANDRE D'OLERARGUES</t>
  </si>
  <si>
    <t>SAINT BAUZELY</t>
  </si>
  <si>
    <t>SAINT BRESSON</t>
  </si>
  <si>
    <t>SAINT CHRISTOL DE RODIERES</t>
  </si>
  <si>
    <t>ardèche+cèze</t>
  </si>
  <si>
    <t>SAINT-CHRISTOL-LES-ALES</t>
  </si>
  <si>
    <t>SAINT DEZERY</t>
  </si>
  <si>
    <t>SAINT-DIONIZY</t>
  </si>
  <si>
    <t>PAC Rhône</t>
  </si>
  <si>
    <t>SAINT HIPPOLYTE DE MONTAIGU</t>
  </si>
  <si>
    <t>SAINT JULIEN DE LA NEF</t>
  </si>
  <si>
    <t>SAINT LAURENT DES ARBRES</t>
  </si>
  <si>
    <t>SAINT LAURENT LE MINIER</t>
  </si>
  <si>
    <t>SAINT MARCEL DE CAREIRET</t>
  </si>
  <si>
    <t>SAINT MARTIAL</t>
  </si>
  <si>
    <t>SAINT NAZAIRE</t>
  </si>
  <si>
    <t>hérault+vidourle</t>
  </si>
  <si>
    <t>SAINT THEODORIT</t>
  </si>
  <si>
    <t>SAINT VICTOR LES OULES</t>
  </si>
  <si>
    <t>SAINT VICTOR LA COSTE</t>
  </si>
  <si>
    <t>SAINTE CROIX DE CADERLE</t>
  </si>
  <si>
    <t>VABRES</t>
  </si>
  <si>
    <t>VAL D'AIGOUAL</t>
  </si>
  <si>
    <t>LA VERNAREDE</t>
  </si>
  <si>
    <t>TOTAL GARD</t>
  </si>
  <si>
    <t>% Gard</t>
  </si>
  <si>
    <t>Légende</t>
  </si>
  <si>
    <t>Numéro = numéro INSEE commune</t>
  </si>
  <si>
    <t>Surface commune = issue de la BD carto</t>
  </si>
  <si>
    <t>ZI naturelle = surface de la commune en zone inondable (selon l'atlas hydrogéomorphologique).</t>
  </si>
  <si>
    <t>ZI INOP = surface de la zone urbanisée complémentaire liés à d'autres facterus (anthropiques, ruissellement pluvial..)</t>
  </si>
  <si>
    <t>ZI = ZI nat + ZI INOP</t>
  </si>
  <si>
    <t>SUPERFICIE</t>
  </si>
  <si>
    <t>Superficie en ZI 2022</t>
  </si>
  <si>
    <t>Aléa PPRI</t>
  </si>
  <si>
    <t>ruissellement</t>
  </si>
  <si>
    <t xml:space="preserve">Superficie en ZI 2020 </t>
  </si>
  <si>
    <t>ZAC</t>
  </si>
  <si>
    <t>Superficie en zone inondable (zone soumises à un aléa inondation)</t>
  </si>
  <si>
    <t>Bassins géographiques</t>
  </si>
  <si>
    <t>Superficie du bassin versant (ha)</t>
  </si>
  <si>
    <t>Superficie ZI totale (ha)</t>
  </si>
  <si>
    <t>% Sup. ZI / Sup. BV</t>
  </si>
  <si>
    <t>Gardons</t>
  </si>
  <si>
    <t>superficie en ZI</t>
  </si>
  <si>
    <t>Rhône - Camargue</t>
  </si>
  <si>
    <t>superficie hors ZI</t>
  </si>
  <si>
    <t>Vistre - Rhony (inondation)</t>
  </si>
  <si>
    <t>Tarn - Dourbie</t>
  </si>
  <si>
    <t>Vidourle (inondation)</t>
  </si>
  <si>
    <t>GARD</t>
  </si>
  <si>
    <t>Superficie en ZI</t>
  </si>
  <si>
    <t>Superficie hors ZI</t>
  </si>
  <si>
    <t xml:space="preserve">Superficie totale </t>
  </si>
  <si>
    <t>Vistre - Rhony (BV inondation)</t>
  </si>
  <si>
    <t>Vidourle (BV inondation)</t>
  </si>
  <si>
    <t>type d'aléa</t>
  </si>
  <si>
    <t>Superficie (ha)</t>
  </si>
  <si>
    <t>Très Fort</t>
  </si>
  <si>
    <t>BV</t>
  </si>
  <si>
    <t>shape_area</t>
  </si>
  <si>
    <t>sup_ha</t>
  </si>
  <si>
    <t>sup_bv_Gard</t>
  </si>
  <si>
    <t>sup_bv_ZI_gard</t>
  </si>
  <si>
    <t>%_ZI</t>
  </si>
  <si>
    <t>Rhône Camargue</t>
  </si>
  <si>
    <t>Tarn Dourbie</t>
  </si>
  <si>
    <t>Vidourle inondation</t>
  </si>
  <si>
    <t>ogc_fid</t>
  </si>
  <si>
    <t>id_bv</t>
  </si>
  <si>
    <t>bassin</t>
  </si>
  <si>
    <t>cod_bv</t>
  </si>
  <si>
    <t>nom_ddaf</t>
  </si>
  <si>
    <t>restau_sed</t>
  </si>
  <si>
    <t>resorption</t>
  </si>
  <si>
    <t>reduc_reje</t>
  </si>
  <si>
    <t>Al├®a PPRI Alzon Seynes</t>
  </si>
  <si>
    <t>gardon, le</t>
  </si>
  <si>
    <t>72.58462</t>
  </si>
  <si>
    <t>6.76695</t>
  </si>
  <si>
    <t>CC du Pays de Sommi├¿res</t>
  </si>
  <si>
    <t>90.721085</t>
  </si>
  <si>
    <t>113.41879</t>
  </si>
  <si>
    <t>62.438015</t>
  </si>
  <si>
    <t>28.9032</t>
  </si>
  <si>
    <t>164.33553</t>
  </si>
  <si>
    <t>65.828545</t>
  </si>
  <si>
    <t>1.1444607</t>
  </si>
  <si>
    <t>129.00607</t>
  </si>
  <si>
    <t>810.73096</t>
  </si>
  <si>
    <t>124.866295</t>
  </si>
  <si>
    <t>1044.462</t>
  </si>
  <si>
    <t>41.187687</t>
  </si>
  <si>
    <t>1753.0975</t>
  </si>
  <si>
    <t>29.748291</t>
  </si>
  <si>
    <t>16.155695</t>
  </si>
  <si>
    <t>211.74144</t>
  </si>
  <si>
    <t>61.700603</t>
  </si>
  <si>
    <t>120.34622</t>
  </si>
  <si>
    <t>13.942435</t>
  </si>
  <si>
    <t>3.0589542</t>
  </si>
  <si>
    <t>5.324276</t>
  </si>
  <si>
    <t>82.44382</t>
  </si>
  <si>
    <t>10.389722</t>
  </si>
  <si>
    <t>1526.4572</t>
  </si>
  <si>
    <t>8.115452</t>
  </si>
  <si>
    <t>2155.9514</t>
  </si>
  <si>
    <t>95.01049</t>
  </si>
  <si>
    <t>8718.239</t>
  </si>
  <si>
    <t>96.21727</t>
  </si>
  <si>
    <t>83.5594</t>
  </si>
  <si>
    <t>103.113846</t>
  </si>
  <si>
    <t>94.913795</t>
  </si>
  <si>
    <t>96.76841</t>
  </si>
  <si>
    <t>67.1277</t>
  </si>
  <si>
    <t>263.7474</t>
  </si>
  <si>
    <t>121.50458</t>
  </si>
  <si>
    <t>78.51135</t>
  </si>
  <si>
    <t>0.038500857</t>
  </si>
  <si>
    <t>70.83511</t>
  </si>
  <si>
    <t>381.73578</t>
  </si>
  <si>
    <t>327.93906</t>
  </si>
  <si>
    <t>1685.042</t>
  </si>
  <si>
    <t>6956.944</t>
  </si>
  <si>
    <t>62.60389</t>
  </si>
  <si>
    <t>90.34678</t>
  </si>
  <si>
    <t>205.56357</t>
  </si>
  <si>
    <t>70.256935</t>
  </si>
  <si>
    <t>186.48586</t>
  </si>
  <si>
    <t>1.9700004</t>
  </si>
  <si>
    <t>141.42586</t>
  </si>
  <si>
    <t>24.90614</t>
  </si>
  <si>
    <t>146.98134</t>
  </si>
  <si>
    <t>194.06587</t>
  </si>
  <si>
    <t>dourbie, la</t>
  </si>
  <si>
    <t>Dourbie</t>
  </si>
  <si>
    <t>43.61397</t>
  </si>
  <si>
    <t>vidourle, le</t>
  </si>
  <si>
    <t>19.847198</t>
  </si>
  <si>
    <t>35.330883</t>
  </si>
  <si>
    <t>324.39853</t>
  </si>
  <si>
    <t>19.409903</t>
  </si>
  <si>
    <t>114.236046</t>
  </si>
  <si>
    <t>0.007812268</t>
  </si>
  <si>
    <t>217.7358</t>
  </si>
  <si>
    <t>21.525513</t>
  </si>
  <si>
    <t>91.75772</t>
  </si>
  <si>
    <t>224.81569</t>
  </si>
  <si>
    <t>11.983174</t>
  </si>
  <si>
    <t>179.45705</t>
  </si>
  <si>
    <t>68.10596</t>
  </si>
  <si>
    <t>117.55754</t>
  </si>
  <si>
    <t>7.457673</t>
  </si>
  <si>
    <t>89.228714</t>
  </si>
  <si>
    <t>1051.7727</t>
  </si>
  <si>
    <t>234.19522</t>
  </si>
  <si>
    <t>0.53603345</t>
  </si>
  <si>
    <t>0.16055733</t>
  </si>
  <si>
    <t>75.3705</t>
  </si>
  <si>
    <t>250.43504</t>
  </si>
  <si>
    <t>15.761554</t>
  </si>
  <si>
    <t>99.82852</t>
  </si>
  <si>
    <t>0.038933896</t>
  </si>
  <si>
    <t>272.18573</t>
  </si>
  <si>
    <t>3.058404</t>
  </si>
  <si>
    <t>5341.786</t>
  </si>
  <si>
    <t>28.591272</t>
  </si>
  <si>
    <t>56.900642</t>
  </si>
  <si>
    <t>139.74382</t>
  </si>
  <si>
    <t>268.99353</t>
  </si>
  <si>
    <t>338.2603</t>
  </si>
  <si>
    <t>124.83165</t>
  </si>
  <si>
    <t>171.29643</t>
  </si>
  <si>
    <t>57.21924</t>
  </si>
  <si>
    <t>247.17302</t>
  </si>
  <si>
    <t>61.639782</t>
  </si>
  <si>
    <t>34.71343</t>
  </si>
  <si>
    <t>7648.4966</t>
  </si>
  <si>
    <t>113.169785</t>
  </si>
  <si>
    <t>0.5224378</t>
  </si>
  <si>
    <t>0.12068046</t>
  </si>
  <si>
    <t>2.156154</t>
  </si>
  <si>
    <t>266.05878</t>
  </si>
  <si>
    <t>4961.5063</t>
  </si>
  <si>
    <t>53.977036</t>
  </si>
  <si>
    <t>268.44794</t>
  </si>
  <si>
    <t>0.019958777</t>
  </si>
  <si>
    <t>83.410446</t>
  </si>
  <si>
    <t>176.3284</t>
  </si>
  <si>
    <t>120.50077</t>
  </si>
  <si>
    <t>46.774868</t>
  </si>
  <si>
    <t>7.934326</t>
  </si>
  <si>
    <t>141.37936</t>
  </si>
  <si>
    <t>49.75834</t>
  </si>
  <si>
    <t>23.10068</t>
  </si>
  <si>
    <t>3.4311547</t>
  </si>
  <si>
    <t>3.9568837</t>
  </si>
  <si>
    <t>4.248653</t>
  </si>
  <si>
    <t>0.14114185</t>
  </si>
  <si>
    <t>507.02457</t>
  </si>
  <si>
    <t>252.13931</t>
  </si>
  <si>
    <t>0.00068053714</t>
  </si>
  <si>
    <t>322.5892</t>
  </si>
  <si>
    <t>47.85303</t>
  </si>
  <si>
    <t>59.609924</t>
  </si>
  <si>
    <t>77.93294</t>
  </si>
  <si>
    <t>0.38099563</t>
  </si>
  <si>
    <t>2004.9337</t>
  </si>
  <si>
    <t>44.62795</t>
  </si>
  <si>
    <t>0.49946252</t>
  </si>
  <si>
    <t>13.274906</t>
  </si>
  <si>
    <t>44.447826</t>
  </si>
  <si>
    <t>17.978132</t>
  </si>
  <si>
    <t>90.88065</t>
  </si>
  <si>
    <t>33.800148</t>
  </si>
  <si>
    <t>37.589336</t>
  </si>
  <si>
    <t>44.721554</t>
  </si>
  <si>
    <t>49.842216</t>
  </si>
  <si>
    <t>10.566072</t>
  </si>
  <si>
    <t>3.8936641</t>
  </si>
  <si>
    <t>3.2615776</t>
  </si>
  <si>
    <t>122.906784</t>
  </si>
  <si>
    <t>0.6900492</t>
  </si>
  <si>
    <t>8.900032</t>
  </si>
  <si>
    <t>21.932041</t>
  </si>
  <si>
    <t>13.066839</t>
  </si>
  <si>
    <t>0.22720975</t>
  </si>
  <si>
    <t>50.146008</t>
  </si>
  <si>
    <t>36.664505</t>
  </si>
  <si>
    <t>0.08411915</t>
  </si>
  <si>
    <t>348.9389</t>
  </si>
  <si>
    <t>7.2291636</t>
  </si>
  <si>
    <t>9.373109</t>
  </si>
  <si>
    <t>47.693413</t>
  </si>
  <si>
    <t>140.36528</t>
  </si>
  <si>
    <t>13.94989</t>
  </si>
  <si>
    <t>94.87049</t>
  </si>
  <si>
    <t>24.392757</t>
  </si>
  <si>
    <t>20.733156</t>
  </si>
  <si>
    <t>1.7269728</t>
  </si>
  <si>
    <t>84.96238</t>
  </si>
  <si>
    <t>375.9516</t>
  </si>
  <si>
    <t>0.79142714</t>
  </si>
  <si>
    <t>3.6811302</t>
  </si>
  <si>
    <t>vistre, le</t>
  </si>
  <si>
    <t>78.156525</t>
  </si>
  <si>
    <t>109.07959</t>
  </si>
  <si>
    <t>291.20047</t>
  </si>
  <si>
    <t>245.82301</t>
  </si>
  <si>
    <t>356.45267</t>
  </si>
  <si>
    <t>145.30353</t>
  </si>
  <si>
    <t>392.44366</t>
  </si>
  <si>
    <t>339.88443</t>
  </si>
  <si>
    <t>0.016357481</t>
  </si>
  <si>
    <t>181.35686</t>
  </si>
  <si>
    <t>19.3096</t>
  </si>
  <si>
    <t>46.73326</t>
  </si>
  <si>
    <t>1.3292239</t>
  </si>
  <si>
    <t>114.14792</t>
  </si>
  <si>
    <t>273.54895</t>
  </si>
  <si>
    <t>33.278744</t>
  </si>
  <si>
    <t>63.95697</t>
  </si>
  <si>
    <t>356.619</t>
  </si>
  <si>
    <t>0.9069522</t>
  </si>
  <si>
    <t>2.4918745</t>
  </si>
  <si>
    <t>338.3921</t>
  </si>
  <si>
    <t>0.08175796</t>
  </si>
  <si>
    <t>128.57932</t>
  </si>
  <si>
    <t>103.128654</t>
  </si>
  <si>
    <t>76.47511</t>
  </si>
  <si>
    <t>12.124313</t>
  </si>
  <si>
    <t>71.90642</t>
  </si>
  <si>
    <t>324.85693</t>
  </si>
  <si>
    <t>251.14369</t>
  </si>
  <si>
    <t>29.606298</t>
  </si>
  <si>
    <t>108.55964</t>
  </si>
  <si>
    <t>85.78436</t>
  </si>
  <si>
    <t>71.92586</t>
  </si>
  <si>
    <t>72.4065</t>
  </si>
  <si>
    <t>83.933334</t>
  </si>
  <si>
    <t>252.41699</t>
  </si>
  <si>
    <t>121.12175</t>
  </si>
  <si>
    <t>177.9113</t>
  </si>
  <si>
    <t>0.006263525</t>
  </si>
  <si>
    <t>37.915813</t>
  </si>
  <si>
    <t>458.46686</t>
  </si>
  <si>
    <t>126.01585</t>
  </si>
  <si>
    <t>57.11509</t>
  </si>
  <si>
    <t>114.24286</t>
  </si>
  <si>
    <t>209.56525</t>
  </si>
  <si>
    <t>26.44648</t>
  </si>
  <si>
    <t>247.1644</t>
  </si>
  <si>
    <t>315.63214</t>
  </si>
  <si>
    <t>51.39142</t>
  </si>
  <si>
    <t>37.375053</t>
  </si>
  <si>
    <t>136.9609</t>
  </si>
  <si>
    <t>278.26407</t>
  </si>
  <si>
    <t>64.07071</t>
  </si>
  <si>
    <t>0.2371416</t>
  </si>
  <si>
    <t>102.420586</t>
  </si>
  <si>
    <t>3.261375</t>
  </si>
  <si>
    <t>26.292048</t>
  </si>
  <si>
    <t>222.40489</t>
  </si>
  <si>
    <t>36.747574</t>
  </si>
  <si>
    <t>111.80918</t>
  </si>
  <si>
    <t>37.99645</t>
  </si>
  <si>
    <t>20.924578</t>
  </si>
  <si>
    <t>62.325363</t>
  </si>
  <si>
    <t>45.96722</t>
  </si>
  <si>
    <t>40.855858</t>
  </si>
  <si>
    <t>18.741253</t>
  </si>
  <si>
    <t>31.14785</t>
  </si>
  <si>
    <t>82.80728</t>
  </si>
  <si>
    <t>93.33584</t>
  </si>
  <si>
    <t>20.432457</t>
  </si>
  <si>
    <t>Mauguio</t>
  </si>
  <si>
    <t>camargue, la</t>
  </si>
  <si>
    <t>ardèche, l'</t>
  </si>
  <si>
    <t>total</t>
  </si>
  <si>
    <t>cèze, la</t>
  </si>
  <si>
    <t>hérault, l'</t>
  </si>
  <si>
    <t>CC des Cévennes Gangeoises et Sum├®noises</t>
  </si>
  <si>
    <t>Vdourle géo</t>
  </si>
  <si>
    <t>Vistre Rhony inondation</t>
  </si>
  <si>
    <t>Vistre Rhony géo</t>
  </si>
  <si>
    <t>ZAV</t>
  </si>
  <si>
    <t>rhône, le</t>
  </si>
  <si>
    <t>nom_bv</t>
  </si>
  <si>
    <t>Résiduel,</t>
  </si>
  <si>
    <t>ajout atlas</t>
  </si>
  <si>
    <t>Atlas + ZI DREAL</t>
  </si>
  <si>
    <t>ajout atlas Domessargues, Mauressargues, Montagnac, Ribaute et ledignan</t>
  </si>
  <si>
    <t xml:space="preserve">  </t>
  </si>
  <si>
    <t>modéré</t>
  </si>
  <si>
    <t>F</t>
  </si>
  <si>
    <t>M</t>
  </si>
  <si>
    <t>TOTAL</t>
  </si>
  <si>
    <t>aléa modéré</t>
  </si>
  <si>
    <t>aléa résiduel</t>
  </si>
  <si>
    <t>autre</t>
  </si>
  <si>
    <t>aléa indifférencié et autres</t>
  </si>
  <si>
    <t>Indifférencié et autres</t>
  </si>
  <si>
    <t>aléa fort et très fort</t>
  </si>
  <si>
    <t>% sup ZI 2020</t>
  </si>
  <si>
    <t>% sup ZI 2022</t>
  </si>
  <si>
    <t>Vallabrègues</t>
  </si>
  <si>
    <t>aléa fort</t>
  </si>
  <si>
    <t>alé modéré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</si>
</sst>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;[Red]0"/>
    <numFmt numFmtId="165" formatCode="0.00;[Red]0.00"/>
    <numFmt numFmtId="166" formatCode="#,##0;[Red]#,##0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name val="Arial"/>
      <family val="2"/>
    </font>
    <font>
      <sz val="10"/>
      <name val="Times New Roman"/>
      <family val="1"/>
    </font>
    <font>
      <b/>
      <sz val="10"/>
      <name val="Arial"/>
      <family val="2"/>
    </font>
    <font>
      <b/>
      <sz val="8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sz val="10"/>
      <color indexed="8"/>
      <name val="Times New Roman"/>
      <family val="1"/>
    </font>
    <font>
      <sz val="10"/>
      <name val="Arial"/>
      <family val="2"/>
    </font>
    <font>
      <sz val="10"/>
      <color indexed="10"/>
      <name val="Times New Roman"/>
      <family val="1"/>
    </font>
    <font>
      <sz val="11"/>
      <name val="Calibri"/>
      <family val="2"/>
      <scheme val="minor"/>
    </font>
    <font>
      <b/>
      <sz val="14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sz val="11"/>
      <name val="Arial"/>
      <family val="2"/>
    </font>
  </fonts>
  <fills count="5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4B084"/>
        <bgColor indexed="64"/>
      </patternFill>
    </fill>
    <fill>
      <patternFill patternType="solid">
        <fgColor rgb="FFF3DAFA"/>
        <bgColor indexed="64"/>
      </patternFill>
    </fill>
    <fill>
      <patternFill patternType="solid">
        <fgColor rgb="FF3366FF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CC66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39">
    <xf numFmtId="0" fontId="0" fillId="0" borderId="0" xfId="0"/>
    <xf numFmtId="1" fontId="0" fillId="0" borderId="0" xfId="0" applyNumberFormat="1"/>
    <xf numFmtId="4" fontId="0" fillId="33" borderId="0" xfId="0" applyNumberFormat="1" applyFill="1"/>
    <xf numFmtId="0" fontId="0" fillId="33" borderId="0" xfId="0" applyFill="1"/>
    <xf numFmtId="164" fontId="19" fillId="33" borderId="0" xfId="0" applyNumberFormat="1" applyFont="1" applyFill="1"/>
    <xf numFmtId="0" fontId="19" fillId="33" borderId="0" xfId="0" applyFont="1" applyFill="1" applyAlignment="1">
      <alignment wrapText="1"/>
    </xf>
    <xf numFmtId="4" fontId="19" fillId="33" borderId="0" xfId="0" applyNumberFormat="1" applyFont="1" applyFill="1"/>
    <xf numFmtId="165" fontId="19" fillId="33" borderId="0" xfId="0" applyNumberFormat="1" applyFont="1" applyFill="1"/>
    <xf numFmtId="2" fontId="19" fillId="33" borderId="0" xfId="0" applyNumberFormat="1" applyFont="1" applyFill="1"/>
    <xf numFmtId="0" fontId="20" fillId="33" borderId="11" xfId="0" applyFont="1" applyFill="1" applyBorder="1" applyAlignment="1">
      <alignment horizontal="center" vertical="center"/>
    </xf>
    <xf numFmtId="164" fontId="21" fillId="33" borderId="12" xfId="0" applyNumberFormat="1" applyFont="1" applyFill="1" applyBorder="1" applyAlignment="1">
      <alignment horizontal="justify" vertical="center"/>
    </xf>
    <xf numFmtId="1" fontId="22" fillId="33" borderId="13" xfId="0" applyNumberFormat="1" applyFont="1" applyFill="1" applyBorder="1" applyAlignment="1">
      <alignment horizontal="justify" vertical="center" wrapText="1"/>
    </xf>
    <xf numFmtId="4" fontId="21" fillId="33" borderId="13" xfId="0" applyNumberFormat="1" applyFont="1" applyFill="1" applyBorder="1" applyAlignment="1">
      <alignment horizontal="justify" vertical="center"/>
    </xf>
    <xf numFmtId="165" fontId="21" fillId="33" borderId="14" xfId="0" applyNumberFormat="1" applyFont="1" applyFill="1" applyBorder="1" applyAlignment="1">
      <alignment horizontal="justify" vertical="center"/>
    </xf>
    <xf numFmtId="4" fontId="22" fillId="33" borderId="14" xfId="0" applyNumberFormat="1" applyFont="1" applyFill="1" applyBorder="1" applyAlignment="1">
      <alignment horizontal="justify" vertical="center"/>
    </xf>
    <xf numFmtId="4" fontId="22" fillId="33" borderId="10" xfId="0" applyNumberFormat="1" applyFont="1" applyFill="1" applyBorder="1" applyAlignment="1">
      <alignment horizontal="center" vertical="center"/>
    </xf>
    <xf numFmtId="4" fontId="22" fillId="33" borderId="10" xfId="0" applyNumberFormat="1" applyFont="1" applyFill="1" applyBorder="1" applyAlignment="1">
      <alignment horizontal="justify" vertical="center"/>
    </xf>
    <xf numFmtId="0" fontId="0" fillId="35" borderId="15" xfId="0" applyFill="1" applyBorder="1" applyAlignment="1">
      <alignment horizontal="center"/>
    </xf>
    <xf numFmtId="0" fontId="19" fillId="35" borderId="18" xfId="0" applyFont="1" applyFill="1" applyBorder="1"/>
    <xf numFmtId="1" fontId="19" fillId="35" borderId="15" xfId="0" applyNumberFormat="1" applyFont="1" applyFill="1" applyBorder="1" applyAlignment="1">
      <alignment wrapText="1"/>
    </xf>
    <xf numFmtId="0" fontId="19" fillId="35" borderId="15" xfId="0" applyFont="1" applyFill="1" applyBorder="1" applyAlignment="1">
      <alignment horizontal="center" vertical="center" wrapText="1"/>
    </xf>
    <xf numFmtId="0" fontId="19" fillId="35" borderId="15" xfId="0" applyFont="1" applyFill="1" applyBorder="1" applyAlignment="1">
      <alignment horizontal="center" vertical="center"/>
    </xf>
    <xf numFmtId="4" fontId="19" fillId="35" borderId="15" xfId="0" applyNumberFormat="1" applyFont="1" applyFill="1" applyBorder="1"/>
    <xf numFmtId="0" fontId="23" fillId="35" borderId="15" xfId="0" applyFont="1" applyFill="1" applyBorder="1"/>
    <xf numFmtId="4" fontId="23" fillId="35" borderId="15" xfId="0" applyNumberFormat="1" applyFont="1" applyFill="1" applyBorder="1"/>
    <xf numFmtId="4" fontId="0" fillId="35" borderId="18" xfId="0" applyNumberFormat="1" applyFill="1" applyBorder="1"/>
    <xf numFmtId="4" fontId="0" fillId="35" borderId="15" xfId="0" applyNumberFormat="1" applyFill="1" applyBorder="1"/>
    <xf numFmtId="4" fontId="0" fillId="35" borderId="16" xfId="0" applyNumberFormat="1" applyFill="1" applyBorder="1"/>
    <xf numFmtId="0" fontId="0" fillId="35" borderId="0" xfId="0" applyFill="1"/>
    <xf numFmtId="0" fontId="23" fillId="35" borderId="15" xfId="0" applyFont="1" applyFill="1" applyBorder="1" applyAlignment="1">
      <alignment wrapText="1"/>
    </xf>
    <xf numFmtId="0" fontId="25" fillId="35" borderId="15" xfId="0" applyFont="1" applyFill="1" applyBorder="1" applyAlignment="1">
      <alignment horizontal="center"/>
    </xf>
    <xf numFmtId="4" fontId="23" fillId="35" borderId="18" xfId="0" applyNumberFormat="1" applyFont="1" applyFill="1" applyBorder="1"/>
    <xf numFmtId="4" fontId="23" fillId="35" borderId="16" xfId="0" applyNumberFormat="1" applyFont="1" applyFill="1" applyBorder="1"/>
    <xf numFmtId="0" fontId="23" fillId="35" borderId="0" xfId="0" applyFont="1" applyFill="1"/>
    <xf numFmtId="0" fontId="19" fillId="35" borderId="15" xfId="0" applyFont="1" applyFill="1" applyBorder="1" applyAlignment="1">
      <alignment horizontal="justify" vertical="center"/>
    </xf>
    <xf numFmtId="165" fontId="0" fillId="35" borderId="0" xfId="0" applyNumberFormat="1" applyFill="1"/>
    <xf numFmtId="4" fontId="23" fillId="36" borderId="15" xfId="0" applyNumberFormat="1" applyFont="1" applyFill="1" applyBorder="1"/>
    <xf numFmtId="0" fontId="18" fillId="33" borderId="0" xfId="0" applyFont="1" applyFill="1"/>
    <xf numFmtId="4" fontId="18" fillId="33" borderId="0" xfId="0" applyNumberFormat="1" applyFont="1" applyFill="1"/>
    <xf numFmtId="2" fontId="18" fillId="33" borderId="0" xfId="0" applyNumberFormat="1" applyFont="1" applyFill="1"/>
    <xf numFmtId="0" fontId="19" fillId="33" borderId="0" xfId="0" applyFont="1" applyFill="1"/>
    <xf numFmtId="2" fontId="0" fillId="33" borderId="0" xfId="0" applyNumberFormat="1" applyFill="1"/>
    <xf numFmtId="0" fontId="27" fillId="38" borderId="16" xfId="0" applyFont="1" applyFill="1" applyBorder="1" applyAlignment="1">
      <alignment horizontal="center"/>
    </xf>
    <xf numFmtId="0" fontId="19" fillId="38" borderId="17" xfId="0" applyFont="1" applyFill="1" applyBorder="1"/>
    <xf numFmtId="1" fontId="19" fillId="38" borderId="16" xfId="0" applyNumberFormat="1" applyFont="1" applyFill="1" applyBorder="1" applyAlignment="1">
      <alignment wrapText="1"/>
    </xf>
    <xf numFmtId="0" fontId="19" fillId="38" borderId="16" xfId="0" applyFont="1" applyFill="1" applyBorder="1" applyAlignment="1">
      <alignment horizontal="center" vertical="center" wrapText="1"/>
    </xf>
    <xf numFmtId="0" fontId="19" fillId="38" borderId="16" xfId="0" applyFont="1" applyFill="1" applyBorder="1" applyAlignment="1">
      <alignment horizontal="center" vertical="center"/>
    </xf>
    <xf numFmtId="4" fontId="19" fillId="38" borderId="16" xfId="0" applyNumberFormat="1" applyFont="1" applyFill="1" applyBorder="1"/>
    <xf numFmtId="0" fontId="23" fillId="38" borderId="15" xfId="0" applyFont="1" applyFill="1" applyBorder="1"/>
    <xf numFmtId="4" fontId="23" fillId="38" borderId="15" xfId="0" applyNumberFormat="1" applyFont="1" applyFill="1" applyBorder="1"/>
    <xf numFmtId="4" fontId="27" fillId="38" borderId="15" xfId="0" applyNumberFormat="1" applyFont="1" applyFill="1" applyBorder="1"/>
    <xf numFmtId="4" fontId="27" fillId="38" borderId="16" xfId="0" applyNumberFormat="1" applyFont="1" applyFill="1" applyBorder="1"/>
    <xf numFmtId="0" fontId="27" fillId="38" borderId="0" xfId="0" applyFont="1" applyFill="1"/>
    <xf numFmtId="1" fontId="0" fillId="38" borderId="0" xfId="0" applyNumberFormat="1" applyFill="1"/>
    <xf numFmtId="0" fontId="0" fillId="38" borderId="0" xfId="0" applyFill="1"/>
    <xf numFmtId="10" fontId="23" fillId="38" borderId="15" xfId="0" applyNumberFormat="1" applyFont="1" applyFill="1" applyBorder="1"/>
    <xf numFmtId="0" fontId="0" fillId="38" borderId="15" xfId="0" applyFill="1" applyBorder="1" applyAlignment="1">
      <alignment horizontal="center"/>
    </xf>
    <xf numFmtId="0" fontId="19" fillId="38" borderId="18" xfId="0" applyFont="1" applyFill="1" applyBorder="1"/>
    <xf numFmtId="1" fontId="19" fillId="38" borderId="15" xfId="0" applyNumberFormat="1" applyFont="1" applyFill="1" applyBorder="1" applyAlignment="1">
      <alignment wrapText="1"/>
    </xf>
    <xf numFmtId="0" fontId="19" fillId="38" borderId="15" xfId="0" applyFont="1" applyFill="1" applyBorder="1" applyAlignment="1">
      <alignment horizontal="center" vertical="center" wrapText="1"/>
    </xf>
    <xf numFmtId="0" fontId="19" fillId="38" borderId="15" xfId="0" applyFont="1" applyFill="1" applyBorder="1" applyAlignment="1">
      <alignment horizontal="center" vertical="center"/>
    </xf>
    <xf numFmtId="4" fontId="19" fillId="38" borderId="15" xfId="0" applyNumberFormat="1" applyFont="1" applyFill="1" applyBorder="1"/>
    <xf numFmtId="4" fontId="0" fillId="38" borderId="18" xfId="0" applyNumberFormat="1" applyFill="1" applyBorder="1"/>
    <xf numFmtId="4" fontId="0" fillId="38" borderId="15" xfId="0" applyNumberFormat="1" applyFill="1" applyBorder="1"/>
    <xf numFmtId="4" fontId="0" fillId="38" borderId="16" xfId="0" applyNumberFormat="1" applyFill="1" applyBorder="1"/>
    <xf numFmtId="4" fontId="22" fillId="33" borderId="19" xfId="0" applyNumberFormat="1" applyFont="1" applyFill="1" applyBorder="1" applyAlignment="1">
      <alignment horizontal="justify" vertical="center"/>
    </xf>
    <xf numFmtId="4" fontId="22" fillId="33" borderId="16" xfId="0" applyNumberFormat="1" applyFont="1" applyFill="1" applyBorder="1" applyAlignment="1">
      <alignment horizontal="justify" vertical="center"/>
    </xf>
    <xf numFmtId="4" fontId="22" fillId="33" borderId="16" xfId="0" applyNumberFormat="1" applyFont="1" applyFill="1" applyBorder="1" applyAlignment="1">
      <alignment horizontal="center" vertical="center"/>
    </xf>
    <xf numFmtId="4" fontId="22" fillId="33" borderId="16" xfId="0" applyNumberFormat="1" applyFont="1" applyFill="1" applyBorder="1" applyAlignment="1">
      <alignment horizontal="center" vertical="center" wrapText="1"/>
    </xf>
    <xf numFmtId="0" fontId="19" fillId="40" borderId="15" xfId="0" applyFont="1" applyFill="1" applyBorder="1" applyAlignment="1">
      <alignment horizontal="center" vertical="center"/>
    </xf>
    <xf numFmtId="0" fontId="0" fillId="40" borderId="15" xfId="0" applyFill="1" applyBorder="1" applyAlignment="1">
      <alignment horizontal="center"/>
    </xf>
    <xf numFmtId="0" fontId="19" fillId="40" borderId="18" xfId="0" applyFont="1" applyFill="1" applyBorder="1"/>
    <xf numFmtId="1" fontId="19" fillId="40" borderId="15" xfId="0" applyNumberFormat="1" applyFont="1" applyFill="1" applyBorder="1" applyAlignment="1">
      <alignment wrapText="1"/>
    </xf>
    <xf numFmtId="0" fontId="24" fillId="40" borderId="16" xfId="0" applyFont="1" applyFill="1" applyBorder="1" applyAlignment="1">
      <alignment horizontal="center" vertical="center" wrapText="1"/>
    </xf>
    <xf numFmtId="4" fontId="19" fillId="40" borderId="15" xfId="0" applyNumberFormat="1" applyFont="1" applyFill="1" applyBorder="1"/>
    <xf numFmtId="0" fontId="23" fillId="40" borderId="15" xfId="0" applyFont="1" applyFill="1" applyBorder="1"/>
    <xf numFmtId="4" fontId="23" fillId="40" borderId="15" xfId="0" applyNumberFormat="1" applyFont="1" applyFill="1" applyBorder="1"/>
    <xf numFmtId="10" fontId="23" fillId="40" borderId="15" xfId="0" applyNumberFormat="1" applyFont="1" applyFill="1" applyBorder="1"/>
    <xf numFmtId="4" fontId="0" fillId="40" borderId="18" xfId="0" applyNumberFormat="1" applyFill="1" applyBorder="1"/>
    <xf numFmtId="4" fontId="0" fillId="40" borderId="15" xfId="0" applyNumberFormat="1" applyFill="1" applyBorder="1"/>
    <xf numFmtId="4" fontId="0" fillId="40" borderId="16" xfId="0" applyNumberFormat="1" applyFill="1" applyBorder="1"/>
    <xf numFmtId="0" fontId="0" fillId="40" borderId="0" xfId="0" applyFill="1"/>
    <xf numFmtId="1" fontId="0" fillId="40" borderId="0" xfId="0" applyNumberFormat="1" applyFill="1"/>
    <xf numFmtId="4" fontId="0" fillId="40" borderId="0" xfId="0" applyNumberFormat="1" applyFill="1"/>
    <xf numFmtId="0" fontId="19" fillId="40" borderId="15" xfId="0" applyFont="1" applyFill="1" applyBorder="1" applyAlignment="1">
      <alignment horizontal="center" vertical="center" wrapText="1"/>
    </xf>
    <xf numFmtId="10" fontId="23" fillId="35" borderId="15" xfId="0" applyNumberFormat="1" applyFont="1" applyFill="1" applyBorder="1"/>
    <xf numFmtId="1" fontId="0" fillId="35" borderId="0" xfId="0" applyNumberFormat="1" applyFill="1"/>
    <xf numFmtId="4" fontId="0" fillId="35" borderId="0" xfId="0" applyNumberFormat="1" applyFill="1"/>
    <xf numFmtId="10" fontId="23" fillId="34" borderId="15" xfId="0" applyNumberFormat="1" applyFont="1" applyFill="1" applyBorder="1"/>
    <xf numFmtId="49" fontId="19" fillId="40" borderId="15" xfId="0" applyNumberFormat="1" applyFont="1" applyFill="1" applyBorder="1" applyAlignment="1">
      <alignment horizontal="center" vertical="center"/>
    </xf>
    <xf numFmtId="10" fontId="23" fillId="36" borderId="15" xfId="0" applyNumberFormat="1" applyFont="1" applyFill="1" applyBorder="1"/>
    <xf numFmtId="0" fontId="0" fillId="41" borderId="15" xfId="0" applyFill="1" applyBorder="1" applyAlignment="1">
      <alignment horizontal="center"/>
    </xf>
    <xf numFmtId="0" fontId="19" fillId="41" borderId="18" xfId="0" applyFont="1" applyFill="1" applyBorder="1"/>
    <xf numFmtId="1" fontId="19" fillId="41" borderId="15" xfId="0" applyNumberFormat="1" applyFont="1" applyFill="1" applyBorder="1" applyAlignment="1">
      <alignment wrapText="1"/>
    </xf>
    <xf numFmtId="0" fontId="19" fillId="41" borderId="15" xfId="0" applyFont="1" applyFill="1" applyBorder="1" applyAlignment="1">
      <alignment horizontal="center" vertical="center" wrapText="1"/>
    </xf>
    <xf numFmtId="0" fontId="19" fillId="41" borderId="15" xfId="0" applyFont="1" applyFill="1" applyBorder="1" applyAlignment="1">
      <alignment horizontal="center" vertical="center"/>
    </xf>
    <xf numFmtId="4" fontId="19" fillId="41" borderId="15" xfId="0" applyNumberFormat="1" applyFont="1" applyFill="1" applyBorder="1"/>
    <xf numFmtId="0" fontId="23" fillId="41" borderId="15" xfId="0" applyFont="1" applyFill="1" applyBorder="1"/>
    <xf numFmtId="4" fontId="23" fillId="41" borderId="15" xfId="0" applyNumberFormat="1" applyFont="1" applyFill="1" applyBorder="1"/>
    <xf numFmtId="4" fontId="0" fillId="41" borderId="18" xfId="0" applyNumberFormat="1" applyFill="1" applyBorder="1"/>
    <xf numFmtId="4" fontId="0" fillId="41" borderId="15" xfId="0" applyNumberFormat="1" applyFill="1" applyBorder="1"/>
    <xf numFmtId="4" fontId="0" fillId="41" borderId="16" xfId="0" applyNumberFormat="1" applyFill="1" applyBorder="1"/>
    <xf numFmtId="0" fontId="0" fillId="41" borderId="0" xfId="0" applyFill="1"/>
    <xf numFmtId="1" fontId="0" fillId="41" borderId="0" xfId="0" applyNumberFormat="1" applyFill="1"/>
    <xf numFmtId="0" fontId="25" fillId="40" borderId="15" xfId="0" applyFont="1" applyFill="1" applyBorder="1" applyAlignment="1">
      <alignment horizontal="center"/>
    </xf>
    <xf numFmtId="4" fontId="23" fillId="40" borderId="18" xfId="0" applyNumberFormat="1" applyFont="1" applyFill="1" applyBorder="1"/>
    <xf numFmtId="4" fontId="23" fillId="40" borderId="16" xfId="0" applyNumberFormat="1" applyFont="1" applyFill="1" applyBorder="1"/>
    <xf numFmtId="0" fontId="23" fillId="40" borderId="0" xfId="0" applyFont="1" applyFill="1"/>
    <xf numFmtId="0" fontId="0" fillId="42" borderId="15" xfId="0" applyFill="1" applyBorder="1" applyAlignment="1">
      <alignment horizontal="center"/>
    </xf>
    <xf numFmtId="0" fontId="19" fillId="42" borderId="18" xfId="0" applyFont="1" applyFill="1" applyBorder="1"/>
    <xf numFmtId="1" fontId="19" fillId="42" borderId="15" xfId="0" applyNumberFormat="1" applyFont="1" applyFill="1" applyBorder="1" applyAlignment="1">
      <alignment wrapText="1"/>
    </xf>
    <xf numFmtId="0" fontId="19" fillId="42" borderId="15" xfId="0" applyFont="1" applyFill="1" applyBorder="1" applyAlignment="1">
      <alignment horizontal="center" vertical="center" wrapText="1"/>
    </xf>
    <xf numFmtId="4" fontId="19" fillId="42" borderId="15" xfId="0" applyNumberFormat="1" applyFont="1" applyFill="1" applyBorder="1"/>
    <xf numFmtId="0" fontId="23" fillId="42" borderId="15" xfId="0" applyFont="1" applyFill="1" applyBorder="1"/>
    <xf numFmtId="4" fontId="23" fillId="42" borderId="15" xfId="0" applyNumberFormat="1" applyFont="1" applyFill="1" applyBorder="1"/>
    <xf numFmtId="10" fontId="23" fillId="42" borderId="15" xfId="0" applyNumberFormat="1" applyFont="1" applyFill="1" applyBorder="1"/>
    <xf numFmtId="4" fontId="0" fillId="42" borderId="18" xfId="0" applyNumberFormat="1" applyFill="1" applyBorder="1"/>
    <xf numFmtId="4" fontId="0" fillId="42" borderId="15" xfId="0" applyNumberFormat="1" applyFill="1" applyBorder="1"/>
    <xf numFmtId="4" fontId="0" fillId="42" borderId="16" xfId="0" applyNumberFormat="1" applyFill="1" applyBorder="1"/>
    <xf numFmtId="0" fontId="0" fillId="42" borderId="0" xfId="0" applyFill="1"/>
    <xf numFmtId="0" fontId="0" fillId="36" borderId="15" xfId="0" applyFill="1" applyBorder="1" applyAlignment="1">
      <alignment horizontal="center"/>
    </xf>
    <xf numFmtId="0" fontId="19" fillId="36" borderId="18" xfId="0" applyFont="1" applyFill="1" applyBorder="1"/>
    <xf numFmtId="1" fontId="19" fillId="36" borderId="15" xfId="0" applyNumberFormat="1" applyFont="1" applyFill="1" applyBorder="1" applyAlignment="1">
      <alignment wrapText="1"/>
    </xf>
    <xf numFmtId="0" fontId="19" fillId="36" borderId="15" xfId="0" applyFont="1" applyFill="1" applyBorder="1" applyAlignment="1">
      <alignment horizontal="center" vertical="center" wrapText="1"/>
    </xf>
    <xf numFmtId="4" fontId="19" fillId="36" borderId="15" xfId="0" applyNumberFormat="1" applyFont="1" applyFill="1" applyBorder="1"/>
    <xf numFmtId="0" fontId="23" fillId="36" borderId="15" xfId="0" applyFont="1" applyFill="1" applyBorder="1"/>
    <xf numFmtId="4" fontId="0" fillId="36" borderId="18" xfId="0" applyNumberFormat="1" applyFill="1" applyBorder="1"/>
    <xf numFmtId="4" fontId="0" fillId="36" borderId="15" xfId="0" applyNumberFormat="1" applyFill="1" applyBorder="1"/>
    <xf numFmtId="4" fontId="0" fillId="36" borderId="16" xfId="0" applyNumberFormat="1" applyFill="1" applyBorder="1"/>
    <xf numFmtId="0" fontId="0" fillId="36" borderId="0" xfId="0" applyFill="1"/>
    <xf numFmtId="1" fontId="0" fillId="36" borderId="0" xfId="0" applyNumberFormat="1" applyFill="1"/>
    <xf numFmtId="4" fontId="0" fillId="36" borderId="0" xfId="0" applyNumberFormat="1" applyFill="1"/>
    <xf numFmtId="1" fontId="27" fillId="35" borderId="0" xfId="0" applyNumberFormat="1" applyFont="1" applyFill="1"/>
    <xf numFmtId="0" fontId="27" fillId="35" borderId="0" xfId="0" applyFont="1" applyFill="1"/>
    <xf numFmtId="1" fontId="27" fillId="40" borderId="0" xfId="0" applyNumberFormat="1" applyFont="1" applyFill="1"/>
    <xf numFmtId="0" fontId="27" fillId="40" borderId="0" xfId="0" applyFont="1" applyFill="1"/>
    <xf numFmtId="0" fontId="23" fillId="40" borderId="15" xfId="0" applyFont="1" applyFill="1" applyBorder="1" applyAlignment="1">
      <alignment horizontal="center"/>
    </xf>
    <xf numFmtId="0" fontId="19" fillId="43" borderId="15" xfId="0" applyFont="1" applyFill="1" applyBorder="1" applyAlignment="1">
      <alignment horizontal="center" vertical="center"/>
    </xf>
    <xf numFmtId="0" fontId="0" fillId="43" borderId="15" xfId="0" applyFill="1" applyBorder="1" applyAlignment="1">
      <alignment horizontal="center"/>
    </xf>
    <xf numFmtId="0" fontId="19" fillId="43" borderId="18" xfId="0" applyFont="1" applyFill="1" applyBorder="1"/>
    <xf numFmtId="1" fontId="19" fillId="43" borderId="15" xfId="0" applyNumberFormat="1" applyFont="1" applyFill="1" applyBorder="1" applyAlignment="1">
      <alignment wrapText="1"/>
    </xf>
    <xf numFmtId="0" fontId="19" fillId="43" borderId="15" xfId="0" applyFont="1" applyFill="1" applyBorder="1" applyAlignment="1">
      <alignment horizontal="center" vertical="center" wrapText="1"/>
    </xf>
    <xf numFmtId="4" fontId="19" fillId="43" borderId="15" xfId="0" applyNumberFormat="1" applyFont="1" applyFill="1" applyBorder="1"/>
    <xf numFmtId="0" fontId="23" fillId="43" borderId="15" xfId="0" applyFont="1" applyFill="1" applyBorder="1"/>
    <xf numFmtId="4" fontId="23" fillId="43" borderId="15" xfId="0" applyNumberFormat="1" applyFont="1" applyFill="1" applyBorder="1"/>
    <xf numFmtId="10" fontId="23" fillId="43" borderId="15" xfId="0" applyNumberFormat="1" applyFont="1" applyFill="1" applyBorder="1"/>
    <xf numFmtId="4" fontId="0" fillId="43" borderId="18" xfId="0" applyNumberFormat="1" applyFill="1" applyBorder="1"/>
    <xf numFmtId="4" fontId="0" fillId="43" borderId="15" xfId="0" applyNumberFormat="1" applyFill="1" applyBorder="1"/>
    <xf numFmtId="4" fontId="0" fillId="43" borderId="16" xfId="0" applyNumberFormat="1" applyFill="1" applyBorder="1"/>
    <xf numFmtId="0" fontId="0" fillId="43" borderId="0" xfId="0" applyFill="1"/>
    <xf numFmtId="0" fontId="25" fillId="43" borderId="15" xfId="0" applyFont="1" applyFill="1" applyBorder="1" applyAlignment="1">
      <alignment horizontal="center"/>
    </xf>
    <xf numFmtId="4" fontId="23" fillId="43" borderId="18" xfId="0" applyNumberFormat="1" applyFont="1" applyFill="1" applyBorder="1"/>
    <xf numFmtId="4" fontId="23" fillId="43" borderId="16" xfId="0" applyNumberFormat="1" applyFont="1" applyFill="1" applyBorder="1"/>
    <xf numFmtId="0" fontId="23" fillId="43" borderId="0" xfId="0" applyFont="1" applyFill="1"/>
    <xf numFmtId="0" fontId="0" fillId="33" borderId="16" xfId="0" applyFill="1" applyBorder="1"/>
    <xf numFmtId="164" fontId="18" fillId="33" borderId="17" xfId="0" applyNumberFormat="1" applyFont="1" applyFill="1" applyBorder="1"/>
    <xf numFmtId="0" fontId="18" fillId="33" borderId="16" xfId="0" applyFont="1" applyFill="1" applyBorder="1" applyAlignment="1">
      <alignment wrapText="1"/>
    </xf>
    <xf numFmtId="4" fontId="18" fillId="33" borderId="16" xfId="0" applyNumberFormat="1" applyFont="1" applyFill="1" applyBorder="1"/>
    <xf numFmtId="165" fontId="18" fillId="33" borderId="16" xfId="0" applyNumberFormat="1" applyFont="1" applyFill="1" applyBorder="1"/>
    <xf numFmtId="3" fontId="18" fillId="36" borderId="15" xfId="0" applyNumberFormat="1" applyFont="1" applyFill="1" applyBorder="1" applyAlignment="1">
      <alignment wrapText="1"/>
    </xf>
    <xf numFmtId="4" fontId="27" fillId="35" borderId="16" xfId="0" applyNumberFormat="1" applyFont="1" applyFill="1" applyBorder="1"/>
    <xf numFmtId="4" fontId="27" fillId="41" borderId="16" xfId="0" applyNumberFormat="1" applyFont="1" applyFill="1" applyBorder="1"/>
    <xf numFmtId="4" fontId="27" fillId="43" borderId="16" xfId="0" applyNumberFormat="1" applyFont="1" applyFill="1" applyBorder="1"/>
    <xf numFmtId="4" fontId="27" fillId="36" borderId="16" xfId="0" applyNumberFormat="1" applyFont="1" applyFill="1" applyBorder="1"/>
    <xf numFmtId="4" fontId="27" fillId="40" borderId="16" xfId="0" applyNumberFormat="1" applyFont="1" applyFill="1" applyBorder="1"/>
    <xf numFmtId="0" fontId="24" fillId="40" borderId="15" xfId="0" applyFont="1" applyFill="1" applyBorder="1" applyAlignment="1">
      <alignment horizontal="center" vertical="center" wrapText="1"/>
    </xf>
    <xf numFmtId="1" fontId="0" fillId="43" borderId="0" xfId="0" applyNumberFormat="1" applyFill="1"/>
    <xf numFmtId="0" fontId="23" fillId="41" borderId="15" xfId="0" applyFont="1" applyFill="1" applyBorder="1" applyAlignment="1">
      <alignment wrapText="1"/>
    </xf>
    <xf numFmtId="164" fontId="19" fillId="40" borderId="18" xfId="0" applyNumberFormat="1" applyFont="1" applyFill="1" applyBorder="1"/>
    <xf numFmtId="0" fontId="0" fillId="44" borderId="15" xfId="0" applyFill="1" applyBorder="1" applyAlignment="1">
      <alignment horizontal="center"/>
    </xf>
    <xf numFmtId="0" fontId="19" fillId="44" borderId="18" xfId="0" applyFont="1" applyFill="1" applyBorder="1"/>
    <xf numFmtId="1" fontId="19" fillId="44" borderId="15" xfId="0" applyNumberFormat="1" applyFont="1" applyFill="1" applyBorder="1" applyAlignment="1">
      <alignment wrapText="1"/>
    </xf>
    <xf numFmtId="0" fontId="19" fillId="44" borderId="15" xfId="0" applyFont="1" applyFill="1" applyBorder="1" applyAlignment="1">
      <alignment horizontal="center" vertical="center" wrapText="1"/>
    </xf>
    <xf numFmtId="0" fontId="19" fillId="44" borderId="15" xfId="0" applyFont="1" applyFill="1" applyBorder="1" applyAlignment="1">
      <alignment horizontal="center" vertical="center"/>
    </xf>
    <xf numFmtId="4" fontId="19" fillId="44" borderId="15" xfId="0" applyNumberFormat="1" applyFont="1" applyFill="1" applyBorder="1"/>
    <xf numFmtId="0" fontId="23" fillId="44" borderId="15" xfId="0" applyFont="1" applyFill="1" applyBorder="1" applyAlignment="1">
      <alignment wrapText="1"/>
    </xf>
    <xf numFmtId="4" fontId="23" fillId="44" borderId="15" xfId="0" applyNumberFormat="1" applyFont="1" applyFill="1" applyBorder="1"/>
    <xf numFmtId="10" fontId="23" fillId="44" borderId="15" xfId="0" applyNumberFormat="1" applyFont="1" applyFill="1" applyBorder="1"/>
    <xf numFmtId="4" fontId="0" fillId="44" borderId="18" xfId="0" applyNumberFormat="1" applyFill="1" applyBorder="1"/>
    <xf numFmtId="4" fontId="0" fillId="44" borderId="15" xfId="0" applyNumberFormat="1" applyFill="1" applyBorder="1"/>
    <xf numFmtId="4" fontId="0" fillId="44" borderId="16" xfId="0" applyNumberFormat="1" applyFill="1" applyBorder="1"/>
    <xf numFmtId="4" fontId="27" fillId="44" borderId="16" xfId="0" applyNumberFormat="1" applyFont="1" applyFill="1" applyBorder="1"/>
    <xf numFmtId="0" fontId="0" fillId="44" borderId="0" xfId="0" applyFill="1"/>
    <xf numFmtId="1" fontId="0" fillId="44" borderId="0" xfId="0" applyNumberFormat="1" applyFill="1"/>
    <xf numFmtId="4" fontId="0" fillId="44" borderId="0" xfId="0" applyNumberFormat="1" applyFill="1"/>
    <xf numFmtId="4" fontId="23" fillId="37" borderId="15" xfId="0" applyNumberFormat="1" applyFont="1" applyFill="1" applyBorder="1"/>
    <xf numFmtId="0" fontId="0" fillId="45" borderId="15" xfId="0" applyFill="1" applyBorder="1" applyAlignment="1">
      <alignment horizontal="center"/>
    </xf>
    <xf numFmtId="0" fontId="19" fillId="45" borderId="18" xfId="0" applyFont="1" applyFill="1" applyBorder="1"/>
    <xf numFmtId="1" fontId="19" fillId="45" borderId="15" xfId="0" applyNumberFormat="1" applyFont="1" applyFill="1" applyBorder="1" applyAlignment="1">
      <alignment wrapText="1"/>
    </xf>
    <xf numFmtId="0" fontId="19" fillId="45" borderId="15" xfId="0" applyFont="1" applyFill="1" applyBorder="1" applyAlignment="1">
      <alignment horizontal="center" vertical="center" wrapText="1"/>
    </xf>
    <xf numFmtId="0" fontId="19" fillId="45" borderId="15" xfId="0" applyFont="1" applyFill="1" applyBorder="1" applyAlignment="1">
      <alignment horizontal="center" vertical="center"/>
    </xf>
    <xf numFmtId="4" fontId="19" fillId="45" borderId="15" xfId="0" applyNumberFormat="1" applyFont="1" applyFill="1" applyBorder="1"/>
    <xf numFmtId="0" fontId="23" fillId="45" borderId="15" xfId="0" applyFont="1" applyFill="1" applyBorder="1"/>
    <xf numFmtId="4" fontId="23" fillId="45" borderId="15" xfId="0" applyNumberFormat="1" applyFont="1" applyFill="1" applyBorder="1"/>
    <xf numFmtId="10" fontId="23" fillId="45" borderId="15" xfId="0" applyNumberFormat="1" applyFont="1" applyFill="1" applyBorder="1"/>
    <xf numFmtId="4" fontId="0" fillId="45" borderId="18" xfId="0" applyNumberFormat="1" applyFill="1" applyBorder="1"/>
    <xf numFmtId="4" fontId="0" fillId="45" borderId="15" xfId="0" applyNumberFormat="1" applyFill="1" applyBorder="1"/>
    <xf numFmtId="4" fontId="0" fillId="45" borderId="16" xfId="0" applyNumberFormat="1" applyFill="1" applyBorder="1"/>
    <xf numFmtId="4" fontId="27" fillId="45" borderId="16" xfId="0" applyNumberFormat="1" applyFont="1" applyFill="1" applyBorder="1"/>
    <xf numFmtId="0" fontId="0" fillId="45" borderId="0" xfId="0" applyFill="1"/>
    <xf numFmtId="0" fontId="19" fillId="40" borderId="15" xfId="0" applyFont="1" applyFill="1" applyBorder="1" applyAlignment="1">
      <alignment horizontal="justify" vertical="center"/>
    </xf>
    <xf numFmtId="10" fontId="23" fillId="37" borderId="15" xfId="0" applyNumberFormat="1" applyFont="1" applyFill="1" applyBorder="1"/>
    <xf numFmtId="0" fontId="23" fillId="44" borderId="15" xfId="0" applyFont="1" applyFill="1" applyBorder="1"/>
    <xf numFmtId="49" fontId="19" fillId="36" borderId="15" xfId="0" applyNumberFormat="1" applyFont="1" applyFill="1" applyBorder="1" applyAlignment="1">
      <alignment horizontal="center" vertical="center"/>
    </xf>
    <xf numFmtId="10" fontId="23" fillId="41" borderId="15" xfId="0" applyNumberFormat="1" applyFont="1" applyFill="1" applyBorder="1"/>
    <xf numFmtId="0" fontId="26" fillId="41" borderId="15" xfId="0" applyFont="1" applyFill="1" applyBorder="1" applyAlignment="1">
      <alignment horizontal="center" vertical="center"/>
    </xf>
    <xf numFmtId="0" fontId="26" fillId="40" borderId="15" xfId="0" applyFont="1" applyFill="1" applyBorder="1" applyAlignment="1">
      <alignment horizontal="center" vertical="center"/>
    </xf>
    <xf numFmtId="0" fontId="27" fillId="35" borderId="15" xfId="0" applyFont="1" applyFill="1" applyBorder="1" applyAlignment="1">
      <alignment horizontal="center"/>
    </xf>
    <xf numFmtId="4" fontId="27" fillId="35" borderId="18" xfId="0" applyNumberFormat="1" applyFont="1" applyFill="1" applyBorder="1"/>
    <xf numFmtId="4" fontId="27" fillId="35" borderId="15" xfId="0" applyNumberFormat="1" applyFont="1" applyFill="1" applyBorder="1"/>
    <xf numFmtId="0" fontId="18" fillId="36" borderId="15" xfId="0" applyFont="1" applyFill="1" applyBorder="1"/>
    <xf numFmtId="164" fontId="18" fillId="36" borderId="15" xfId="0" applyNumberFormat="1" applyFont="1" applyFill="1" applyBorder="1"/>
    <xf numFmtId="0" fontId="18" fillId="36" borderId="15" xfId="0" applyFont="1" applyFill="1" applyBorder="1" applyAlignment="1">
      <alignment wrapText="1"/>
    </xf>
    <xf numFmtId="166" fontId="18" fillId="36" borderId="15" xfId="0" applyNumberFormat="1" applyFont="1" applyFill="1" applyBorder="1" applyAlignment="1">
      <alignment wrapText="1"/>
    </xf>
    <xf numFmtId="10" fontId="20" fillId="36" borderId="15" xfId="0" applyNumberFormat="1" applyFont="1" applyFill="1" applyBorder="1"/>
    <xf numFmtId="0" fontId="22" fillId="47" borderId="11" xfId="0" applyFont="1" applyFill="1" applyBorder="1" applyAlignment="1">
      <alignment horizontal="justify" vertical="center" wrapText="1"/>
    </xf>
    <xf numFmtId="10" fontId="27" fillId="47" borderId="16" xfId="0" applyNumberFormat="1" applyFont="1" applyFill="1" applyBorder="1"/>
    <xf numFmtId="10" fontId="0" fillId="47" borderId="15" xfId="0" applyNumberFormat="1" applyFill="1" applyBorder="1"/>
    <xf numFmtId="0" fontId="0" fillId="47" borderId="0" xfId="0" applyFill="1"/>
    <xf numFmtId="10" fontId="23" fillId="40" borderId="16" xfId="0" applyNumberFormat="1" applyFont="1" applyFill="1" applyBorder="1"/>
    <xf numFmtId="2" fontId="22" fillId="33" borderId="15" xfId="0" applyNumberFormat="1" applyFont="1" applyFill="1" applyBorder="1" applyAlignment="1">
      <alignment horizontal="justify" vertical="center" wrapText="1"/>
    </xf>
    <xf numFmtId="4" fontId="22" fillId="33" borderId="25" xfId="0" applyNumberFormat="1" applyFont="1" applyFill="1" applyBorder="1" applyAlignment="1">
      <alignment horizontal="justify" vertical="center"/>
    </xf>
    <xf numFmtId="0" fontId="28" fillId="0" borderId="0" xfId="0" applyFont="1" applyAlignment="1">
      <alignment horizontal="justify" vertical="top"/>
    </xf>
    <xf numFmtId="0" fontId="0" fillId="0" borderId="0" xfId="0" applyAlignment="1">
      <alignment horizontal="justify" vertical="top"/>
    </xf>
    <xf numFmtId="10" fontId="20" fillId="0" borderId="0" xfId="0" applyNumberFormat="1" applyFont="1"/>
    <xf numFmtId="0" fontId="29" fillId="49" borderId="15" xfId="0" applyFont="1" applyFill="1" applyBorder="1" applyAlignment="1">
      <alignment horizontal="center" vertical="center"/>
    </xf>
    <xf numFmtId="0" fontId="29" fillId="48" borderId="15" xfId="0" applyFont="1" applyFill="1" applyBorder="1" applyAlignment="1">
      <alignment horizontal="justify" vertical="center"/>
    </xf>
    <xf numFmtId="0" fontId="29" fillId="50" borderId="15" xfId="0" applyFont="1" applyFill="1" applyBorder="1" applyAlignment="1">
      <alignment horizontal="justify" vertical="center"/>
    </xf>
    <xf numFmtId="0" fontId="30" fillId="51" borderId="15" xfId="0" applyFont="1" applyFill="1" applyBorder="1" applyAlignment="1">
      <alignment horizontal="center" vertical="center" wrapText="1"/>
    </xf>
    <xf numFmtId="3" fontId="0" fillId="0" borderId="0" xfId="0" applyNumberFormat="1"/>
    <xf numFmtId="3" fontId="20" fillId="0" borderId="0" xfId="0" applyNumberFormat="1" applyFont="1"/>
    <xf numFmtId="0" fontId="0" fillId="0" borderId="15" xfId="0" applyBorder="1"/>
    <xf numFmtId="3" fontId="0" fillId="0" borderId="15" xfId="0" applyNumberFormat="1" applyBorder="1"/>
    <xf numFmtId="3" fontId="20" fillId="0" borderId="15" xfId="0" applyNumberFormat="1" applyFont="1" applyBorder="1"/>
    <xf numFmtId="10" fontId="20" fillId="0" borderId="15" xfId="0" applyNumberFormat="1" applyFont="1" applyBorder="1"/>
    <xf numFmtId="0" fontId="23" fillId="0" borderId="0" xfId="0" applyFont="1"/>
    <xf numFmtId="0" fontId="20" fillId="0" borderId="15" xfId="0" applyFont="1" applyBorder="1"/>
    <xf numFmtId="0" fontId="29" fillId="49" borderId="28" xfId="0" applyFont="1" applyFill="1" applyBorder="1" applyAlignment="1">
      <alignment horizontal="center" vertical="center"/>
    </xf>
    <xf numFmtId="0" fontId="29" fillId="48" borderId="28" xfId="0" applyFont="1" applyFill="1" applyBorder="1" applyAlignment="1">
      <alignment horizontal="justify" vertical="center"/>
    </xf>
    <xf numFmtId="0" fontId="30" fillId="48" borderId="29" xfId="0" applyFont="1" applyFill="1" applyBorder="1" applyAlignment="1">
      <alignment horizontal="center" vertical="center" wrapText="1"/>
    </xf>
    <xf numFmtId="10" fontId="29" fillId="48" borderId="28" xfId="0" applyNumberFormat="1" applyFont="1" applyFill="1" applyBorder="1" applyAlignment="1">
      <alignment horizontal="justify" vertical="center"/>
    </xf>
    <xf numFmtId="0" fontId="29" fillId="0" borderId="28" xfId="0" applyFont="1" applyBorder="1" applyAlignment="1">
      <alignment horizontal="justify" vertical="center"/>
    </xf>
    <xf numFmtId="0" fontId="29" fillId="0" borderId="0" xfId="0" applyFont="1" applyAlignment="1">
      <alignment horizontal="justify" vertical="center"/>
    </xf>
    <xf numFmtId="0" fontId="30" fillId="0" borderId="0" xfId="0" applyFont="1" applyAlignment="1">
      <alignment horizontal="center" vertical="center" wrapText="1"/>
    </xf>
    <xf numFmtId="9" fontId="0" fillId="0" borderId="30" xfId="0" applyNumberFormat="1" applyBorder="1"/>
    <xf numFmtId="9" fontId="0" fillId="0" borderId="0" xfId="0" applyNumberFormat="1"/>
    <xf numFmtId="10" fontId="0" fillId="0" borderId="30" xfId="0" applyNumberFormat="1" applyBorder="1"/>
    <xf numFmtId="4" fontId="20" fillId="0" borderId="31" xfId="0" applyNumberFormat="1" applyFont="1" applyBorder="1"/>
    <xf numFmtId="4" fontId="20" fillId="0" borderId="0" xfId="0" applyNumberFormat="1" applyFont="1"/>
    <xf numFmtId="4" fontId="20" fillId="0" borderId="32" xfId="0" applyNumberFormat="1" applyFont="1" applyBorder="1"/>
    <xf numFmtId="0" fontId="23" fillId="0" borderId="15" xfId="0" applyFont="1" applyBorder="1"/>
    <xf numFmtId="10" fontId="0" fillId="0" borderId="0" xfId="0" applyNumberFormat="1"/>
    <xf numFmtId="0" fontId="20" fillId="0" borderId="33" xfId="0" applyFont="1" applyBorder="1"/>
    <xf numFmtId="4" fontId="20" fillId="0" borderId="34" xfId="0" applyNumberFormat="1" applyFont="1" applyBorder="1"/>
    <xf numFmtId="0" fontId="23" fillId="33" borderId="15" xfId="0" applyFont="1" applyFill="1" applyBorder="1" applyAlignment="1">
      <alignment horizontal="left" vertical="center"/>
    </xf>
    <xf numFmtId="3" fontId="31" fillId="33" borderId="15" xfId="0" applyNumberFormat="1" applyFont="1" applyFill="1" applyBorder="1" applyAlignment="1">
      <alignment horizontal="right" vertical="center"/>
    </xf>
    <xf numFmtId="0" fontId="20" fillId="0" borderId="0" xfId="0" applyFont="1"/>
    <xf numFmtId="0" fontId="0" fillId="33" borderId="15" xfId="0" applyFill="1" applyBorder="1"/>
    <xf numFmtId="3" fontId="0" fillId="33" borderId="15" xfId="0" applyNumberFormat="1" applyFill="1" applyBorder="1"/>
    <xf numFmtId="3" fontId="0" fillId="37" borderId="0" xfId="0" applyNumberFormat="1" applyFill="1"/>
    <xf numFmtId="10" fontId="0" fillId="37" borderId="15" xfId="0" applyNumberFormat="1" applyFill="1" applyBorder="1"/>
    <xf numFmtId="4" fontId="0" fillId="0" borderId="0" xfId="0" applyNumberFormat="1"/>
    <xf numFmtId="1" fontId="0" fillId="34" borderId="0" xfId="0" applyNumberFormat="1" applyFill="1"/>
    <xf numFmtId="4" fontId="0" fillId="34" borderId="0" xfId="0" applyNumberFormat="1" applyFill="1"/>
    <xf numFmtId="0" fontId="0" fillId="34" borderId="0" xfId="0" applyFill="1"/>
    <xf numFmtId="1" fontId="0" fillId="47" borderId="0" xfId="0" applyNumberFormat="1" applyFill="1"/>
    <xf numFmtId="4" fontId="0" fillId="47" borderId="0" xfId="0" applyNumberFormat="1" applyFill="1"/>
    <xf numFmtId="1" fontId="27" fillId="52" borderId="0" xfId="0" applyNumberFormat="1" applyFont="1" applyFill="1"/>
    <xf numFmtId="4" fontId="27" fillId="52" borderId="0" xfId="0" applyNumberFormat="1" applyFont="1" applyFill="1"/>
    <xf numFmtId="0" fontId="27" fillId="52" borderId="0" xfId="0" applyFont="1" applyFill="1"/>
    <xf numFmtId="1" fontId="27" fillId="47" borderId="0" xfId="0" applyNumberFormat="1" applyFont="1" applyFill="1"/>
    <xf numFmtId="4" fontId="27" fillId="47" borderId="0" xfId="0" applyNumberFormat="1" applyFont="1" applyFill="1"/>
    <xf numFmtId="0" fontId="27" fillId="47" borderId="0" xfId="0" applyFont="1" applyFill="1"/>
    <xf numFmtId="1" fontId="0" fillId="53" borderId="0" xfId="0" applyNumberFormat="1" applyFill="1"/>
    <xf numFmtId="4" fontId="0" fillId="53" borderId="0" xfId="0" applyNumberFormat="1" applyFill="1"/>
    <xf numFmtId="0" fontId="0" fillId="53" borderId="0" xfId="0" applyFill="1"/>
    <xf numFmtId="1" fontId="0" fillId="52" borderId="0" xfId="0" applyNumberFormat="1" applyFill="1"/>
    <xf numFmtId="4" fontId="0" fillId="52" borderId="0" xfId="0" applyNumberFormat="1" applyFill="1"/>
    <xf numFmtId="0" fontId="0" fillId="52" borderId="0" xfId="0" applyFill="1"/>
    <xf numFmtId="1" fontId="0" fillId="54" borderId="0" xfId="0" applyNumberFormat="1" applyFill="1"/>
    <xf numFmtId="4" fontId="0" fillId="54" borderId="0" xfId="0" applyNumberFormat="1" applyFill="1"/>
    <xf numFmtId="0" fontId="0" fillId="54" borderId="0" xfId="0" applyFill="1"/>
    <xf numFmtId="1" fontId="0" fillId="55" borderId="0" xfId="0" applyNumberFormat="1" applyFill="1"/>
    <xf numFmtId="0" fontId="0" fillId="55" borderId="0" xfId="0" applyFill="1"/>
    <xf numFmtId="3" fontId="0" fillId="36" borderId="0" xfId="0" applyNumberFormat="1" applyFill="1"/>
    <xf numFmtId="3" fontId="0" fillId="34" borderId="0" xfId="0" applyNumberFormat="1" applyFill="1"/>
    <xf numFmtId="3" fontId="0" fillId="55" borderId="0" xfId="0" applyNumberFormat="1" applyFill="1"/>
    <xf numFmtId="3" fontId="0" fillId="53" borderId="0" xfId="0" applyNumberFormat="1" applyFill="1"/>
    <xf numFmtId="0" fontId="0" fillId="33" borderId="15" xfId="0" applyFill="1" applyBorder="1" applyAlignment="1">
      <alignment horizontal="center"/>
    </xf>
    <xf numFmtId="3" fontId="0" fillId="47" borderId="0" xfId="0" applyNumberFormat="1" applyFill="1"/>
    <xf numFmtId="3" fontId="0" fillId="35" borderId="0" xfId="0" applyNumberFormat="1" applyFill="1"/>
    <xf numFmtId="3" fontId="0" fillId="52" borderId="0" xfId="0" applyNumberFormat="1" applyFill="1"/>
    <xf numFmtId="3" fontId="0" fillId="54" borderId="0" xfId="0" applyNumberFormat="1" applyFill="1"/>
    <xf numFmtId="0" fontId="0" fillId="46" borderId="15" xfId="0" applyFill="1" applyBorder="1"/>
    <xf numFmtId="3" fontId="0" fillId="46" borderId="15" xfId="0" applyNumberFormat="1" applyFill="1" applyBorder="1"/>
    <xf numFmtId="10" fontId="0" fillId="46" borderId="15" xfId="0" applyNumberFormat="1" applyFill="1" applyBorder="1"/>
    <xf numFmtId="3" fontId="27" fillId="46" borderId="15" xfId="0" applyNumberFormat="1" applyFont="1" applyFill="1" applyBorder="1"/>
    <xf numFmtId="0" fontId="0" fillId="0" borderId="0" xfId="0" applyBorder="1"/>
    <xf numFmtId="3" fontId="0" fillId="33" borderId="0" xfId="0" applyNumberFormat="1" applyFill="1" applyBorder="1"/>
    <xf numFmtId="10" fontId="27" fillId="46" borderId="15" xfId="0" applyNumberFormat="1" applyFont="1" applyFill="1" applyBorder="1"/>
    <xf numFmtId="3" fontId="0" fillId="33" borderId="0" xfId="0" applyNumberFormat="1" applyFill="1"/>
    <xf numFmtId="4" fontId="27" fillId="33" borderId="0" xfId="0" applyNumberFormat="1" applyFont="1" applyFill="1"/>
    <xf numFmtId="4" fontId="23" fillId="47" borderId="15" xfId="0" applyNumberFormat="1" applyFont="1" applyFill="1" applyBorder="1"/>
    <xf numFmtId="4" fontId="0" fillId="47" borderId="16" xfId="0" applyNumberFormat="1" applyFill="1" applyBorder="1"/>
    <xf numFmtId="4" fontId="0" fillId="47" borderId="18" xfId="0" applyNumberFormat="1" applyFill="1" applyBorder="1"/>
    <xf numFmtId="1" fontId="0" fillId="45" borderId="0" xfId="0" applyNumberFormat="1" applyFill="1"/>
    <xf numFmtId="4" fontId="16" fillId="47" borderId="0" xfId="0" applyNumberFormat="1" applyFont="1" applyFill="1"/>
    <xf numFmtId="1" fontId="0" fillId="56" borderId="0" xfId="0" applyNumberFormat="1" applyFill="1"/>
    <xf numFmtId="4" fontId="0" fillId="56" borderId="0" xfId="0" applyNumberFormat="1" applyFill="1"/>
    <xf numFmtId="0" fontId="0" fillId="56" borderId="0" xfId="0" applyFill="1"/>
    <xf numFmtId="4" fontId="0" fillId="38" borderId="0" xfId="0" applyNumberFormat="1" applyFill="1"/>
    <xf numFmtId="1" fontId="0" fillId="45" borderId="0" xfId="0" applyNumberFormat="1" applyFill="1" applyAlignment="1">
      <alignment horizontal="left"/>
    </xf>
    <xf numFmtId="1" fontId="0" fillId="40" borderId="0" xfId="0" applyNumberFormat="1" applyFill="1" applyAlignment="1">
      <alignment horizontal="left"/>
    </xf>
    <xf numFmtId="1" fontId="0" fillId="36" borderId="0" xfId="0" applyNumberFormat="1" applyFill="1" applyAlignment="1">
      <alignment horizontal="left"/>
    </xf>
    <xf numFmtId="3" fontId="18" fillId="33" borderId="0" xfId="0" applyNumberFormat="1" applyFont="1" applyFill="1"/>
    <xf numFmtId="3" fontId="0" fillId="36" borderId="15" xfId="0" applyNumberFormat="1" applyFill="1" applyBorder="1"/>
    <xf numFmtId="10" fontId="0" fillId="36" borderId="15" xfId="0" applyNumberFormat="1" applyFill="1" applyBorder="1"/>
    <xf numFmtId="0" fontId="0" fillId="36" borderId="15" xfId="0" applyFill="1" applyBorder="1"/>
    <xf numFmtId="4" fontId="23" fillId="36" borderId="0" xfId="0" applyNumberFormat="1" applyFont="1" applyFill="1" applyBorder="1"/>
    <xf numFmtId="2" fontId="0" fillId="0" borderId="0" xfId="0" applyNumberFormat="1"/>
    <xf numFmtId="3" fontId="16" fillId="0" borderId="15" xfId="0" applyNumberFormat="1" applyFont="1" applyBorder="1"/>
    <xf numFmtId="0" fontId="16" fillId="47" borderId="0" xfId="0" applyFont="1" applyFill="1" applyBorder="1" applyAlignment="1">
      <alignment horizontal="center" vertical="center"/>
    </xf>
    <xf numFmtId="2" fontId="22" fillId="47" borderId="15" xfId="0" applyNumberFormat="1" applyFont="1" applyFill="1" applyBorder="1" applyAlignment="1">
      <alignment horizontal="justify" vertical="center" wrapText="1"/>
    </xf>
    <xf numFmtId="10" fontId="23" fillId="47" borderId="0" xfId="0" applyNumberFormat="1" applyFont="1" applyFill="1" applyBorder="1"/>
    <xf numFmtId="10" fontId="23" fillId="47" borderId="18" xfId="0" applyNumberFormat="1" applyFont="1" applyFill="1" applyBorder="1"/>
    <xf numFmtId="10" fontId="20" fillId="47" borderId="15" xfId="0" applyNumberFormat="1" applyFont="1" applyFill="1" applyBorder="1"/>
    <xf numFmtId="2" fontId="18" fillId="47" borderId="0" xfId="0" applyNumberFormat="1" applyFont="1" applyFill="1"/>
    <xf numFmtId="2" fontId="19" fillId="47" borderId="0" xfId="0" applyNumberFormat="1" applyFont="1" applyFill="1"/>
    <xf numFmtId="2" fontId="0" fillId="47" borderId="0" xfId="0" applyNumberFormat="1" applyFill="1"/>
    <xf numFmtId="10" fontId="23" fillId="36" borderId="18" xfId="0" applyNumberFormat="1" applyFont="1" applyFill="1" applyBorder="1"/>
    <xf numFmtId="10" fontId="27" fillId="36" borderId="16" xfId="0" applyNumberFormat="1" applyFont="1" applyFill="1" applyBorder="1"/>
    <xf numFmtId="4" fontId="16" fillId="35" borderId="20" xfId="0" applyNumberFormat="1" applyFont="1" applyFill="1" applyBorder="1" applyAlignment="1">
      <alignment horizontal="center" vertical="center"/>
    </xf>
    <xf numFmtId="0" fontId="16" fillId="35" borderId="21" xfId="0" applyFont="1" applyFill="1" applyBorder="1" applyAlignment="1">
      <alignment horizontal="center" vertical="center"/>
    </xf>
    <xf numFmtId="0" fontId="16" fillId="35" borderId="24" xfId="0" applyFont="1" applyFill="1" applyBorder="1" applyAlignment="1">
      <alignment horizontal="center" vertical="center"/>
    </xf>
    <xf numFmtId="4" fontId="16" fillId="39" borderId="22" xfId="0" applyNumberFormat="1" applyFont="1" applyFill="1" applyBorder="1" applyAlignment="1">
      <alignment horizontal="center"/>
    </xf>
    <xf numFmtId="0" fontId="16" fillId="39" borderId="23" xfId="0" applyFont="1" applyFill="1" applyBorder="1" applyAlignment="1">
      <alignment horizontal="center"/>
    </xf>
    <xf numFmtId="0" fontId="28" fillId="48" borderId="26" xfId="0" applyFont="1" applyFill="1" applyBorder="1" applyAlignment="1">
      <alignment horizontal="justify" vertical="top"/>
    </xf>
    <xf numFmtId="0" fontId="0" fillId="0" borderId="10" xfId="0" applyBorder="1"/>
    <xf numFmtId="0" fontId="0" fillId="0" borderId="27" xfId="0" applyBorder="1"/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Note" xfId="15" builtinId="10" customBuiltin="1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colors>
    <mruColors>
      <color rgb="FF66FFFF"/>
      <color rgb="FF3366FF"/>
      <color rgb="FFFFF2CC"/>
      <color rgb="FFF4B084"/>
      <color rgb="FFF3DAFA"/>
      <color rgb="FF00B0F0"/>
      <color rgb="FFCC66FF"/>
      <color rgb="FFF90786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FR" b="1">
                <a:solidFill>
                  <a:sysClr val="windowText" lastClr="000000"/>
                </a:solidFill>
              </a:rPr>
              <a:t>Superficie en zone inondable</a:t>
            </a:r>
            <a:r>
              <a:rPr lang="fr-FR" b="1" baseline="0">
                <a:solidFill>
                  <a:sysClr val="windowText" lastClr="000000"/>
                </a:solidFill>
              </a:rPr>
              <a:t> </a:t>
            </a:r>
            <a:r>
              <a:rPr lang="fr-FR" b="1">
                <a:solidFill>
                  <a:sysClr val="windowText" lastClr="000000"/>
                </a:solidFill>
              </a:rPr>
              <a:t>dans le Gard en ha (février 2023</a:t>
            </a:r>
            <a:r>
              <a:rPr lang="fr-FR">
                <a:solidFill>
                  <a:sysClr val="windowText" lastClr="000000"/>
                </a:solidFill>
              </a:rPr>
              <a:t>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2-809E-455F-986E-13B3A8B5B76F}"/>
              </c:ext>
            </c:extLst>
          </c:dPt>
          <c:dPt>
            <c:idx val="1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809E-455F-986E-13B3A8B5B76F}"/>
              </c:ext>
            </c:extLst>
          </c:dPt>
          <c:dLbls>
            <c:dLbl>
              <c:idx val="0"/>
              <c:layout>
                <c:manualLayout>
                  <c:x val="-0.13920751312335958"/>
                  <c:y val="6.694650762299972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09E-455F-986E-13B3A8B5B76F}"/>
                </c:ext>
              </c:extLst>
            </c:dLbl>
            <c:dLbl>
              <c:idx val="1"/>
              <c:layout>
                <c:manualLayout>
                  <c:x val="0.17137746062992126"/>
                  <c:y val="-0.25091070001009175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09E-455F-986E-13B3A8B5B76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/>
            </c:extLst>
          </c:dLbls>
          <c:cat>
            <c:strRef>
              <c:f>resultats!$H$7:$H$8</c:f>
              <c:strCache>
                <c:ptCount val="2"/>
                <c:pt idx="0">
                  <c:v>superficie en ZI</c:v>
                </c:pt>
                <c:pt idx="1">
                  <c:v>superficie hors ZI</c:v>
                </c:pt>
              </c:strCache>
            </c:strRef>
          </c:cat>
          <c:val>
            <c:numRef>
              <c:f>resultats!$I$7:$I$8</c:f>
              <c:numCache>
                <c:formatCode>#,##0</c:formatCode>
                <c:ptCount val="2"/>
                <c:pt idx="0">
                  <c:v>130994.3000066931</c:v>
                </c:pt>
                <c:pt idx="1">
                  <c:v>456588.82096640137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9E-455F-986E-13B3A8B5B7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FR" b="1">
                <a:solidFill>
                  <a:sysClr val="windowText" lastClr="000000"/>
                </a:solidFill>
              </a:rPr>
              <a:t>Part</a:t>
            </a:r>
            <a:r>
              <a:rPr lang="fr-FR" b="1" baseline="0">
                <a:solidFill>
                  <a:sysClr val="windowText" lastClr="000000"/>
                </a:solidFill>
              </a:rPr>
              <a:t> de la zone inondable par bassin versant (février 2023)</a:t>
            </a:r>
            <a:endParaRPr lang="fr-FR" b="1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percentStacked"/>
        <c:varyColors val="0"/>
        <c:ser>
          <c:idx val="0"/>
          <c:order val="0"/>
          <c:tx>
            <c:strRef>
              <c:f>resultats!$B$18</c:f>
              <c:strCache>
                <c:ptCount val="1"/>
                <c:pt idx="0">
                  <c:v>Superficie en ZI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resultats!$A$19:$A$27</c:f>
              <c:strCache>
                <c:ptCount val="9"/>
                <c:pt idx="0">
                  <c:v>Gardons</c:v>
                </c:pt>
                <c:pt idx="1">
                  <c:v>Cèze</c:v>
                </c:pt>
                <c:pt idx="2">
                  <c:v>Rhône - Camargue</c:v>
                </c:pt>
                <c:pt idx="3">
                  <c:v>Ardèche</c:v>
                </c:pt>
                <c:pt idx="4">
                  <c:v>Vistre - Rhony (BV inondation)</c:v>
                </c:pt>
                <c:pt idx="5">
                  <c:v>Hérault </c:v>
                </c:pt>
                <c:pt idx="6">
                  <c:v>Tarn - Dourbie</c:v>
                </c:pt>
                <c:pt idx="7">
                  <c:v>Vidourle (BV inondation)</c:v>
                </c:pt>
                <c:pt idx="8">
                  <c:v>GARD</c:v>
                </c:pt>
              </c:strCache>
            </c:strRef>
          </c:cat>
          <c:val>
            <c:numRef>
              <c:f>resultats!$B$19:$B$27</c:f>
              <c:numCache>
                <c:formatCode>0%</c:formatCode>
                <c:ptCount val="9"/>
                <c:pt idx="0">
                  <c:v>0.16097608482626666</c:v>
                </c:pt>
                <c:pt idx="1">
                  <c:v>0.10487122660016207</c:v>
                </c:pt>
                <c:pt idx="2">
                  <c:v>0.55136954248498626</c:v>
                </c:pt>
                <c:pt idx="3">
                  <c:v>9.2440550157310453E-2</c:v>
                </c:pt>
                <c:pt idx="4">
                  <c:v>0.36935939361594416</c:v>
                </c:pt>
                <c:pt idx="5">
                  <c:v>3.5284131640748319E-2</c:v>
                </c:pt>
                <c:pt idx="6">
                  <c:v>2.5522967830877402E-2</c:v>
                </c:pt>
                <c:pt idx="7">
                  <c:v>0.23326592370767382</c:v>
                </c:pt>
                <c:pt idx="8">
                  <c:v>0.22293747953439144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E2E-4270-9043-6DD89175A219}"/>
            </c:ext>
          </c:extLst>
        </c:ser>
        <c:ser>
          <c:idx val="1"/>
          <c:order val="1"/>
          <c:tx>
            <c:strRef>
              <c:f>resultats!$C$18</c:f>
              <c:strCache>
                <c:ptCount val="1"/>
                <c:pt idx="0">
                  <c:v>Superficie hors ZI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resultats!$A$19:$A$27</c:f>
              <c:strCache>
                <c:ptCount val="9"/>
                <c:pt idx="0">
                  <c:v>Gardons</c:v>
                </c:pt>
                <c:pt idx="1">
                  <c:v>Cèze</c:v>
                </c:pt>
                <c:pt idx="2">
                  <c:v>Rhône - Camargue</c:v>
                </c:pt>
                <c:pt idx="3">
                  <c:v>Ardèche</c:v>
                </c:pt>
                <c:pt idx="4">
                  <c:v>Vistre - Rhony (BV inondation)</c:v>
                </c:pt>
                <c:pt idx="5">
                  <c:v>Hérault </c:v>
                </c:pt>
                <c:pt idx="6">
                  <c:v>Tarn - Dourbie</c:v>
                </c:pt>
                <c:pt idx="7">
                  <c:v>Vidourle (BV inondation)</c:v>
                </c:pt>
                <c:pt idx="8">
                  <c:v>GARD</c:v>
                </c:pt>
              </c:strCache>
            </c:strRef>
          </c:cat>
          <c:val>
            <c:numRef>
              <c:f>resultats!$C$19:$C$27</c:f>
              <c:numCache>
                <c:formatCode>0%</c:formatCode>
                <c:ptCount val="9"/>
                <c:pt idx="0">
                  <c:v>0.83902391517373331</c:v>
                </c:pt>
                <c:pt idx="1">
                  <c:v>0.89512877339983787</c:v>
                </c:pt>
                <c:pt idx="2">
                  <c:v>0.44863045751501374</c:v>
                </c:pt>
                <c:pt idx="3">
                  <c:v>0.90755944984268955</c:v>
                </c:pt>
                <c:pt idx="4">
                  <c:v>0.63064060638405584</c:v>
                </c:pt>
                <c:pt idx="5">
                  <c:v>0.96471586835925172</c:v>
                </c:pt>
                <c:pt idx="6">
                  <c:v>0.97447703216912263</c:v>
                </c:pt>
                <c:pt idx="7">
                  <c:v>0.76673407629232615</c:v>
                </c:pt>
                <c:pt idx="8">
                  <c:v>0.77706252046560853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E2E-4270-9043-6DD89175A2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785708768"/>
        <c:axId val="785709096"/>
        <c:axId val="0"/>
      </c:bar3DChart>
      <c:catAx>
        <c:axId val="7857087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785709096"/>
        <c:crosses val="autoZero"/>
        <c:auto val="1"/>
        <c:lblAlgn val="ctr"/>
        <c:lblOffset val="100"/>
        <c:noMultiLvlLbl val="0"/>
      </c:catAx>
      <c:valAx>
        <c:axId val="7857090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7857087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>
                <a:solidFill>
                  <a:sysClr val="windowText" lastClr="000000"/>
                </a:solidFill>
              </a:rPr>
              <a:t>Répartition de la superficie en zone inondable par type d'aléa dans le Gard en ha  (février 2023)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resultats!$B$100</c:f>
              <c:strCache>
                <c:ptCount val="1"/>
                <c:pt idx="0">
                  <c:v>Superficie (ha)</c:v>
                </c:pt>
              </c:strCache>
            </c:strRef>
          </c:tx>
          <c:dPt>
            <c:idx val="0"/>
            <c:bubble3D val="0"/>
            <c:spPr>
              <a:solidFill>
                <a:srgbClr val="C0000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2-746C-4929-8D2A-748A5BA9A291}"/>
              </c:ext>
            </c:extLst>
          </c:dPt>
          <c:dPt>
            <c:idx val="1"/>
            <c:bubble3D val="0"/>
            <c:spPr>
              <a:solidFill>
                <a:srgbClr val="FF000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746C-4929-8D2A-748A5BA9A291}"/>
              </c:ext>
            </c:extLst>
          </c:dPt>
          <c:dPt>
            <c:idx val="2"/>
            <c:bubble3D val="0"/>
            <c:spPr>
              <a:solidFill>
                <a:srgbClr val="FFC00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746C-4929-8D2A-748A5BA9A291}"/>
              </c:ext>
            </c:extLst>
          </c:dPt>
          <c:dPt>
            <c:idx val="3"/>
            <c:bubble3D val="0"/>
            <c:spPr>
              <a:solidFill>
                <a:srgbClr val="FFFF0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4-746C-4929-8D2A-748A5BA9A291}"/>
              </c:ext>
            </c:extLst>
          </c:dPt>
          <c:dPt>
            <c:idx val="4"/>
            <c:bubble3D val="0"/>
            <c:spPr>
              <a:solidFill>
                <a:srgbClr val="3366FF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746C-4929-8D2A-748A5BA9A291}"/>
              </c:ext>
            </c:extLst>
          </c:dPt>
          <c:dPt>
            <c:idx val="5"/>
            <c:bubble3D val="0"/>
            <c:spPr>
              <a:solidFill>
                <a:srgbClr val="00B0F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6-746C-4929-8D2A-748A5BA9A291}"/>
              </c:ext>
            </c:extLst>
          </c:dPt>
          <c:dLbls>
            <c:dLbl>
              <c:idx val="1"/>
              <c:layout>
                <c:manualLayout>
                  <c:x val="-0.24909320170954294"/>
                  <c:y val="-0.17765799422442127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46C-4929-8D2A-748A5BA9A291}"/>
                </c:ext>
              </c:extLst>
            </c:dLbl>
            <c:dLbl>
              <c:idx val="2"/>
              <c:layout>
                <c:manualLayout>
                  <c:x val="0.133364399380454"/>
                  <c:y val="-0.1364172716505636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46C-4929-8D2A-748A5BA9A291}"/>
                </c:ext>
              </c:extLst>
            </c:dLbl>
            <c:dLbl>
              <c:idx val="3"/>
              <c:layout>
                <c:manualLayout>
                  <c:x val="0.13494297635146912"/>
                  <c:y val="3.71985781035228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46C-4929-8D2A-748A5BA9A291}"/>
                </c:ext>
              </c:extLst>
            </c:dLbl>
            <c:dLbl>
              <c:idx val="4"/>
              <c:layout>
                <c:manualLayout>
                  <c:x val="7.7743114577309175E-2"/>
                  <c:y val="8.179387625321191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46C-4929-8D2A-748A5BA9A29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resultats!$A$101:$A$105</c:f>
              <c:strCache>
                <c:ptCount val="5"/>
                <c:pt idx="0">
                  <c:v>Très Fort</c:v>
                </c:pt>
                <c:pt idx="1">
                  <c:v>Fort</c:v>
                </c:pt>
                <c:pt idx="2">
                  <c:v>Modéré</c:v>
                </c:pt>
                <c:pt idx="3">
                  <c:v>Résiduel,</c:v>
                </c:pt>
                <c:pt idx="4">
                  <c:v>Indifférencié et autres</c:v>
                </c:pt>
              </c:strCache>
            </c:strRef>
          </c:cat>
          <c:val>
            <c:numRef>
              <c:f>resultats!$B$101:$B$105</c:f>
              <c:numCache>
                <c:formatCode>#,##0</c:formatCode>
                <c:ptCount val="5"/>
                <c:pt idx="0">
                  <c:v>1998.0465817486001</c:v>
                </c:pt>
                <c:pt idx="1">
                  <c:v>82926.873196651417</c:v>
                </c:pt>
                <c:pt idx="2">
                  <c:v>16141.24714842056</c:v>
                </c:pt>
                <c:pt idx="3">
                  <c:v>14791.422271844016</c:v>
                </c:pt>
                <c:pt idx="4">
                  <c:v>15136.710808028516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6C-4929-8D2A-748A5BA9A2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b="1">
                <a:solidFill>
                  <a:sysClr val="windowText" lastClr="000000"/>
                </a:solidFill>
              </a:rPr>
              <a:t>Répartition des surfaces en zone inondable par aléa et bassin versant en ha (février 2023)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resultats!$B$55</c:f>
              <c:strCache>
                <c:ptCount val="1"/>
                <c:pt idx="0">
                  <c:v>aléa fort et très fort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resultats!$A$56:$A$63</c:f>
              <c:strCache>
                <c:ptCount val="8"/>
                <c:pt idx="0">
                  <c:v>Gardons</c:v>
                </c:pt>
                <c:pt idx="1">
                  <c:v>Cèze</c:v>
                </c:pt>
                <c:pt idx="2">
                  <c:v>Rhône - Camargue</c:v>
                </c:pt>
                <c:pt idx="3">
                  <c:v>Ardèche</c:v>
                </c:pt>
                <c:pt idx="4">
                  <c:v>Vistre - Rhony (BV inondation)</c:v>
                </c:pt>
                <c:pt idx="5">
                  <c:v>Hérault </c:v>
                </c:pt>
                <c:pt idx="6">
                  <c:v>Tarn - Dourbie</c:v>
                </c:pt>
                <c:pt idx="7">
                  <c:v>Vidourle (BV inondation)</c:v>
                </c:pt>
              </c:strCache>
            </c:strRef>
          </c:cat>
          <c:val>
            <c:numRef>
              <c:f>resultats!$B$56:$B$63</c:f>
              <c:numCache>
                <c:formatCode>#,##0</c:formatCode>
                <c:ptCount val="8"/>
                <c:pt idx="0">
                  <c:v>14306.265808357119</c:v>
                </c:pt>
                <c:pt idx="1">
                  <c:v>8068.650865624988</c:v>
                </c:pt>
                <c:pt idx="2">
                  <c:v>46236.783150634714</c:v>
                </c:pt>
                <c:pt idx="3">
                  <c:v>126.067425146484</c:v>
                </c:pt>
                <c:pt idx="4">
                  <c:v>14667.245263183569</c:v>
                </c:pt>
                <c:pt idx="5">
                  <c:v>216.25554521484301</c:v>
                </c:pt>
                <c:pt idx="6">
                  <c:v>22.5102046875</c:v>
                </c:pt>
                <c:pt idx="7">
                  <c:v>9887.1102639648198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C5-4D55-AE39-5BBDA1DBB120}"/>
            </c:ext>
          </c:extLst>
        </c:ser>
        <c:ser>
          <c:idx val="1"/>
          <c:order val="1"/>
          <c:tx>
            <c:strRef>
              <c:f>resultats!$C$55</c:f>
              <c:strCache>
                <c:ptCount val="1"/>
                <c:pt idx="0">
                  <c:v>aléa modéré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resultats!$A$56:$A$63</c:f>
              <c:strCache>
                <c:ptCount val="8"/>
                <c:pt idx="0">
                  <c:v>Gardons</c:v>
                </c:pt>
                <c:pt idx="1">
                  <c:v>Cèze</c:v>
                </c:pt>
                <c:pt idx="2">
                  <c:v>Rhône - Camargue</c:v>
                </c:pt>
                <c:pt idx="3">
                  <c:v>Ardèche</c:v>
                </c:pt>
                <c:pt idx="4">
                  <c:v>Vistre - Rhony (BV inondation)</c:v>
                </c:pt>
                <c:pt idx="5">
                  <c:v>Hérault </c:v>
                </c:pt>
                <c:pt idx="6">
                  <c:v>Tarn - Dourbie</c:v>
                </c:pt>
                <c:pt idx="7">
                  <c:v>Vidourle (BV inondation)</c:v>
                </c:pt>
              </c:strCache>
            </c:strRef>
          </c:cat>
          <c:val>
            <c:numRef>
              <c:f>resultats!$C$56:$C$63</c:f>
              <c:numCache>
                <c:formatCode>#,##0</c:formatCode>
                <c:ptCount val="8"/>
                <c:pt idx="0">
                  <c:v>4509.0562884202063</c:v>
                </c:pt>
                <c:pt idx="1">
                  <c:v>1718.1214152343712</c:v>
                </c:pt>
                <c:pt idx="2">
                  <c:v>3134.0318449706988</c:v>
                </c:pt>
                <c:pt idx="3">
                  <c:v>3.5265854492187501</c:v>
                </c:pt>
                <c:pt idx="4">
                  <c:v>6963.8417585937332</c:v>
                </c:pt>
                <c:pt idx="5">
                  <c:v>4.28446025390625</c:v>
                </c:pt>
                <c:pt idx="6">
                  <c:v>0</c:v>
                </c:pt>
                <c:pt idx="7">
                  <c:v>914.91480170898274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1C5-4D55-AE39-5BBDA1DBB120}"/>
            </c:ext>
          </c:extLst>
        </c:ser>
        <c:ser>
          <c:idx val="2"/>
          <c:order val="2"/>
          <c:tx>
            <c:strRef>
              <c:f>resultats!$D$55</c:f>
              <c:strCache>
                <c:ptCount val="1"/>
                <c:pt idx="0">
                  <c:v>aléa résiduel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resultats!$A$56:$A$63</c:f>
              <c:strCache>
                <c:ptCount val="8"/>
                <c:pt idx="0">
                  <c:v>Gardons</c:v>
                </c:pt>
                <c:pt idx="1">
                  <c:v>Cèze</c:v>
                </c:pt>
                <c:pt idx="2">
                  <c:v>Rhône - Camargue</c:v>
                </c:pt>
                <c:pt idx="3">
                  <c:v>Ardèche</c:v>
                </c:pt>
                <c:pt idx="4">
                  <c:v>Vistre - Rhony (BV inondation)</c:v>
                </c:pt>
                <c:pt idx="5">
                  <c:v>Hérault </c:v>
                </c:pt>
                <c:pt idx="6">
                  <c:v>Tarn - Dourbie</c:v>
                </c:pt>
                <c:pt idx="7">
                  <c:v>Vidourle (BV inondation)</c:v>
                </c:pt>
              </c:strCache>
            </c:strRef>
          </c:cat>
          <c:val>
            <c:numRef>
              <c:f>resultats!$D$56:$D$63</c:f>
              <c:numCache>
                <c:formatCode>#,##0</c:formatCode>
                <c:ptCount val="8"/>
                <c:pt idx="0">
                  <c:v>5909.681971923821</c:v>
                </c:pt>
                <c:pt idx="1">
                  <c:v>1951.909179248044</c:v>
                </c:pt>
                <c:pt idx="2">
                  <c:v>1818.4920583496059</c:v>
                </c:pt>
                <c:pt idx="3">
                  <c:v>0</c:v>
                </c:pt>
                <c:pt idx="4">
                  <c:v>4686.8713678710874</c:v>
                </c:pt>
                <c:pt idx="5">
                  <c:v>56.437313916015604</c:v>
                </c:pt>
                <c:pt idx="6">
                  <c:v>0</c:v>
                </c:pt>
                <c:pt idx="7">
                  <c:v>1309.4810688476532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1C5-4D55-AE39-5BBDA1DBB120}"/>
            </c:ext>
          </c:extLst>
        </c:ser>
        <c:ser>
          <c:idx val="3"/>
          <c:order val="3"/>
          <c:tx>
            <c:strRef>
              <c:f>resultats!$E$55</c:f>
              <c:strCache>
                <c:ptCount val="1"/>
                <c:pt idx="0">
                  <c:v>aléa indifférencié et autres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resultats!$A$56:$A$63</c:f>
              <c:strCache>
                <c:ptCount val="8"/>
                <c:pt idx="0">
                  <c:v>Gardons</c:v>
                </c:pt>
                <c:pt idx="1">
                  <c:v>Cèze</c:v>
                </c:pt>
                <c:pt idx="2">
                  <c:v>Rhône - Camargue</c:v>
                </c:pt>
                <c:pt idx="3">
                  <c:v>Ardèche</c:v>
                </c:pt>
                <c:pt idx="4">
                  <c:v>Vistre - Rhony (BV inondation)</c:v>
                </c:pt>
                <c:pt idx="5">
                  <c:v>Hérault </c:v>
                </c:pt>
                <c:pt idx="6">
                  <c:v>Tarn - Dourbie</c:v>
                </c:pt>
                <c:pt idx="7">
                  <c:v>Vidourle (BV inondation)</c:v>
                </c:pt>
              </c:strCache>
            </c:strRef>
          </c:cat>
          <c:val>
            <c:numRef>
              <c:f>resultats!$E$56:$E$63</c:f>
              <c:numCache>
                <c:formatCode>#,##0</c:formatCode>
                <c:ptCount val="8"/>
                <c:pt idx="0">
                  <c:v>2150.3373980800739</c:v>
                </c:pt>
                <c:pt idx="1">
                  <c:v>247.06851005859366</c:v>
                </c:pt>
                <c:pt idx="2">
                  <c:v>4486.0841646484296</c:v>
                </c:pt>
                <c:pt idx="3">
                  <c:v>989.45953178710772</c:v>
                </c:pt>
                <c:pt idx="4">
                  <c:v>2073.4204240722588</c:v>
                </c:pt>
                <c:pt idx="5">
                  <c:v>1716.6824087402329</c:v>
                </c:pt>
                <c:pt idx="6">
                  <c:v>540.69133637695256</c:v>
                </c:pt>
                <c:pt idx="7">
                  <c:v>4291.5816295078084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1C5-4D55-AE39-5BBDA1DBB1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473970320"/>
        <c:axId val="473971632"/>
        <c:axId val="0"/>
      </c:bar3DChart>
      <c:catAx>
        <c:axId val="4739703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73971632"/>
        <c:crosses val="autoZero"/>
        <c:auto val="1"/>
        <c:lblAlgn val="ctr"/>
        <c:lblOffset val="100"/>
        <c:noMultiLvlLbl val="0"/>
      </c:catAx>
      <c:valAx>
        <c:axId val="47397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739703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114300</xdr:colOff>
      <xdr:row>135</xdr:row>
      <xdr:rowOff>114300</xdr:rowOff>
    </xdr:from>
    <xdr:to>
      <xdr:col>8</xdr:col>
      <xdr:colOff>95250</xdr:colOff>
      <xdr:row>137</xdr:row>
      <xdr:rowOff>142875</xdr:rowOff>
    </xdr:to>
    <xdr:sp macro="" textlink="">
      <xdr:nvSpPr>
        <xdr:cNvPr id="3" name="Text Box 30">
          <a:extLst>
            <a:ext uri="{FF2B5EF4-FFF2-40B4-BE49-F238E27FC236}">
              <a16:creationId xmlns:a16="http://schemas.microsoft.com/office/drawing/2014/main" id="{235A7882-A503-4007-BE5A-F3B460157FD2}"/>
            </a:ext>
          </a:extLst>
        </xdr:cNvPr>
        <xdr:cNvSpPr txBox="1">
          <a:spLocks noChangeArrowheads="1"/>
        </xdr:cNvSpPr>
      </xdr:nvSpPr>
      <xdr:spPr bwMode="auto">
        <a:xfrm>
          <a:off x="2838450" y="24183975"/>
          <a:ext cx="496252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800" b="0" i="1" u="none" strike="noStrike" baseline="0">
              <a:solidFill>
                <a:srgbClr val="000000"/>
              </a:solidFill>
              <a:latin typeface="Arial"/>
              <a:cs typeface="Arial"/>
            </a:rPr>
            <a:t>Source: NOE, observatoire ORIG, Service de l'Eau et des Rivières, d'après la couche zone inondable de référence 2013, AUDRNA, DDTM, CG30, décembre 2013.</a:t>
          </a:r>
        </a:p>
      </xdr:txBody>
    </xdr:sp>
    <xdr:clientData/>
  </xdr:twoCellAnchor>
  <xdr:twoCellAnchor>
    <xdr:from>
      <xdr:col>10</xdr:col>
      <xdr:colOff>314325</xdr:colOff>
      <xdr:row>0</xdr:row>
      <xdr:rowOff>304800</xdr:rowOff>
    </xdr:from>
    <xdr:to>
      <xdr:col>18</xdr:col>
      <xdr:colOff>533400</xdr:colOff>
      <xdr:row>22</xdr:row>
      <xdr:rowOff>114300</xdr:rowOff>
    </xdr:to>
    <xdr:graphicFrame macro="">
      <xdr:nvGraphicFramePr>
        <xdr:cNvPr id="8" name="Graphique 7">
          <a:extLst>
            <a:ext uri="{FF2B5EF4-FFF2-40B4-BE49-F238E27FC236}">
              <a16:creationId xmlns:a16="http://schemas.microsoft.com/office/drawing/2014/main" id="{75703417-513E-4149-BA56-80FAB91FF9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638174</xdr:colOff>
      <xdr:row>23</xdr:row>
      <xdr:rowOff>104776</xdr:rowOff>
    </xdr:from>
    <xdr:to>
      <xdr:col>15</xdr:col>
      <xdr:colOff>504824</xdr:colOff>
      <xdr:row>52</xdr:row>
      <xdr:rowOff>95250</xdr:rowOff>
    </xdr:to>
    <xdr:graphicFrame macro="">
      <xdr:nvGraphicFramePr>
        <xdr:cNvPr id="9" name="Graphique 8">
          <a:extLst>
            <a:ext uri="{FF2B5EF4-FFF2-40B4-BE49-F238E27FC236}">
              <a16:creationId xmlns:a16="http://schemas.microsoft.com/office/drawing/2014/main" id="{7E38A132-5338-43F2-AA31-72507FAB0A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438149</xdr:colOff>
      <xdr:row>101</xdr:row>
      <xdr:rowOff>23811</xdr:rowOff>
    </xdr:from>
    <xdr:to>
      <xdr:col>11</xdr:col>
      <xdr:colOff>704850</xdr:colOff>
      <xdr:row>127</xdr:row>
      <xdr:rowOff>95249</xdr:rowOff>
    </xdr:to>
    <xdr:graphicFrame macro="">
      <xdr:nvGraphicFramePr>
        <xdr:cNvPr id="11" name="Graphique 10">
          <a:extLst>
            <a:ext uri="{FF2B5EF4-FFF2-40B4-BE49-F238E27FC236}">
              <a16:creationId xmlns:a16="http://schemas.microsoft.com/office/drawing/2014/main" id="{0119AC65-3FFA-4644-A5FF-BFEE087FE4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685800</xdr:colOff>
      <xdr:row>63</xdr:row>
      <xdr:rowOff>100012</xdr:rowOff>
    </xdr:from>
    <xdr:to>
      <xdr:col>11</xdr:col>
      <xdr:colOff>752474</xdr:colOff>
      <xdr:row>97</xdr:row>
      <xdr:rowOff>57150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E8945E71-E40F-4D2E-8287-86CD2B837B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79"/>
  <sheetViews>
    <sheetView workbookViewId="0">
      <selection activeCell="G827" sqref="G827"/>
    </sheetView>
  </sheetViews>
  <sheetFormatPr baseColWidth="10" defaultRowHeight="15" x14ac:dyDescent="0.25"/>
  <cols>
    <col min="1" max="1" width="12.42578125" style="1" customWidth="1"/>
    <col min="2" max="2" width="38.28515625" style="1" customWidth="1"/>
    <col min="3" max="3" width="15.7109375" style="1" customWidth="1"/>
    <col min="4" max="4" width="40.85546875" style="1" customWidth="1"/>
    <col min="5" max="5" width="25.7109375" style="1" customWidth="1"/>
    <col min="6" max="6" width="26.28515625" style="1" customWidth="1"/>
    <col min="7" max="7" width="17.7109375" style="1" customWidth="1"/>
    <col min="12" max="12" width="11.28515625" customWidth="1"/>
  </cols>
  <sheetData>
    <row r="1" spans="1:8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835</v>
      </c>
    </row>
    <row r="2" spans="1:8" s="81" customFormat="1" x14ac:dyDescent="0.25">
      <c r="A2" s="82" t="s">
        <v>7</v>
      </c>
      <c r="B2" s="82" t="s">
        <v>8</v>
      </c>
      <c r="C2" s="82" t="s">
        <v>9</v>
      </c>
      <c r="D2" s="82" t="s">
        <v>10</v>
      </c>
      <c r="E2" s="82" t="s">
        <v>728</v>
      </c>
      <c r="F2" s="82" t="s">
        <v>11</v>
      </c>
      <c r="G2" s="266">
        <v>78.156525000000002</v>
      </c>
    </row>
    <row r="3" spans="1:8" s="81" customFormat="1" x14ac:dyDescent="0.25">
      <c r="A3" s="82" t="s">
        <v>12</v>
      </c>
      <c r="B3" s="82" t="s">
        <v>13</v>
      </c>
      <c r="C3" s="82" t="s">
        <v>14</v>
      </c>
      <c r="D3" s="82" t="s">
        <v>740</v>
      </c>
      <c r="E3" s="82" t="s">
        <v>15</v>
      </c>
      <c r="F3" s="82" t="s">
        <v>11</v>
      </c>
      <c r="G3" s="266">
        <v>30.518360000000001</v>
      </c>
    </row>
    <row r="4" spans="1:8" s="81" customFormat="1" x14ac:dyDescent="0.25">
      <c r="A4" s="82" t="s">
        <v>16</v>
      </c>
      <c r="B4" s="82" t="s">
        <v>17</v>
      </c>
      <c r="C4" s="82" t="s">
        <v>18</v>
      </c>
      <c r="D4" s="82" t="s">
        <v>19</v>
      </c>
      <c r="E4" s="82" t="s">
        <v>15</v>
      </c>
      <c r="F4" s="82" t="s">
        <v>11</v>
      </c>
      <c r="G4" s="266">
        <v>54.567900000000002</v>
      </c>
    </row>
    <row r="5" spans="1:8" s="81" customFormat="1" x14ac:dyDescent="0.25">
      <c r="A5" s="82" t="s">
        <v>20</v>
      </c>
      <c r="B5" s="82" t="s">
        <v>21</v>
      </c>
      <c r="C5" s="82" t="s">
        <v>18</v>
      </c>
      <c r="D5" s="82" t="s">
        <v>19</v>
      </c>
      <c r="E5" s="82" t="s">
        <v>15</v>
      </c>
      <c r="F5" s="82" t="s">
        <v>11</v>
      </c>
      <c r="G5" s="266">
        <v>322.20184</v>
      </c>
    </row>
    <row r="6" spans="1:8" s="81" customFormat="1" x14ac:dyDescent="0.25">
      <c r="A6" s="82" t="s">
        <v>22</v>
      </c>
      <c r="B6" s="82" t="s">
        <v>23</v>
      </c>
      <c r="C6" s="82" t="s">
        <v>24</v>
      </c>
      <c r="D6" s="82" t="s">
        <v>735</v>
      </c>
      <c r="E6" s="82" t="s">
        <v>15</v>
      </c>
      <c r="F6" s="82" t="s">
        <v>11</v>
      </c>
      <c r="G6" s="266">
        <v>151.64839000000001</v>
      </c>
    </row>
    <row r="7" spans="1:8" s="81" customFormat="1" x14ac:dyDescent="0.25">
      <c r="A7" s="82" t="s">
        <v>25</v>
      </c>
      <c r="B7" s="82" t="s">
        <v>26</v>
      </c>
      <c r="C7" s="82" t="s">
        <v>27</v>
      </c>
      <c r="D7" s="82" t="s">
        <v>738</v>
      </c>
      <c r="E7" s="82" t="s">
        <v>728</v>
      </c>
      <c r="F7" s="82" t="s">
        <v>11</v>
      </c>
      <c r="G7" s="266">
        <v>19.847197999999999</v>
      </c>
    </row>
    <row r="8" spans="1:8" s="129" customFormat="1" x14ac:dyDescent="0.25">
      <c r="A8" s="130" t="s">
        <v>28</v>
      </c>
      <c r="B8" s="130" t="s">
        <v>29</v>
      </c>
      <c r="C8" s="130" t="s">
        <v>30</v>
      </c>
      <c r="D8" s="130" t="s">
        <v>732</v>
      </c>
      <c r="E8" s="130" t="s">
        <v>15</v>
      </c>
      <c r="F8" s="130" t="s">
        <v>11</v>
      </c>
      <c r="G8" s="266">
        <v>120.85848</v>
      </c>
    </row>
    <row r="9" spans="1:8" s="28" customFormat="1" x14ac:dyDescent="0.25">
      <c r="A9" s="86" t="s">
        <v>31</v>
      </c>
      <c r="B9" s="86" t="s">
        <v>32</v>
      </c>
      <c r="C9" s="86" t="s">
        <v>33</v>
      </c>
      <c r="D9" s="86" t="s">
        <v>34</v>
      </c>
      <c r="E9" s="86" t="s">
        <v>726</v>
      </c>
      <c r="F9" s="86" t="s">
        <v>35</v>
      </c>
      <c r="G9" s="266">
        <v>2155.9513999999999</v>
      </c>
    </row>
    <row r="10" spans="1:8" s="81" customFormat="1" x14ac:dyDescent="0.25">
      <c r="A10" s="82" t="s">
        <v>36</v>
      </c>
      <c r="B10" s="82" t="s">
        <v>37</v>
      </c>
      <c r="C10" s="82" t="s">
        <v>9</v>
      </c>
      <c r="D10" s="82" t="s">
        <v>10</v>
      </c>
      <c r="E10" s="82" t="s">
        <v>728</v>
      </c>
      <c r="F10" s="82" t="s">
        <v>11</v>
      </c>
      <c r="G10" s="266">
        <v>109.07959</v>
      </c>
    </row>
    <row r="11" spans="1:8" s="81" customFormat="1" x14ac:dyDescent="0.25">
      <c r="A11" s="82" t="s">
        <v>38</v>
      </c>
      <c r="B11" s="82" t="s">
        <v>39</v>
      </c>
      <c r="C11" s="82" t="s">
        <v>24</v>
      </c>
      <c r="D11" s="82" t="s">
        <v>735</v>
      </c>
      <c r="E11" s="82" t="s">
        <v>727</v>
      </c>
      <c r="F11" s="82" t="s">
        <v>11</v>
      </c>
      <c r="G11" s="266">
        <v>36.900635000000001</v>
      </c>
    </row>
    <row r="12" spans="1:8" s="135" customFormat="1" x14ac:dyDescent="0.25">
      <c r="A12" s="134" t="s">
        <v>40</v>
      </c>
      <c r="B12" s="134" t="s">
        <v>41</v>
      </c>
      <c r="C12" s="134" t="s">
        <v>30</v>
      </c>
      <c r="D12" s="134" t="s">
        <v>732</v>
      </c>
      <c r="E12" s="134" t="s">
        <v>727</v>
      </c>
      <c r="F12" s="134" t="s">
        <v>11</v>
      </c>
      <c r="G12" s="271">
        <v>31.495446999999999</v>
      </c>
    </row>
    <row r="13" spans="1:8" s="81" customFormat="1" x14ac:dyDescent="0.25">
      <c r="A13" s="82" t="s">
        <v>42</v>
      </c>
      <c r="B13" s="82" t="s">
        <v>43</v>
      </c>
      <c r="C13" s="82" t="s">
        <v>30</v>
      </c>
      <c r="D13" s="82" t="s">
        <v>732</v>
      </c>
      <c r="E13" s="82" t="s">
        <v>728</v>
      </c>
      <c r="F13" s="82" t="s">
        <v>11</v>
      </c>
      <c r="G13" s="266">
        <v>38.742752000000003</v>
      </c>
    </row>
    <row r="14" spans="1:8" s="81" customFormat="1" x14ac:dyDescent="0.25">
      <c r="A14" s="82" t="s">
        <v>44</v>
      </c>
      <c r="B14" s="82" t="s">
        <v>45</v>
      </c>
      <c r="C14" s="82" t="s">
        <v>46</v>
      </c>
      <c r="D14" s="82" t="s">
        <v>739</v>
      </c>
      <c r="E14" s="82" t="s">
        <v>15</v>
      </c>
      <c r="F14" s="82" t="s">
        <v>11</v>
      </c>
      <c r="G14" s="266">
        <v>291.20047</v>
      </c>
    </row>
    <row r="15" spans="1:8" s="81" customFormat="1" x14ac:dyDescent="0.25">
      <c r="A15" s="82" t="s">
        <v>47</v>
      </c>
      <c r="B15" s="82" t="s">
        <v>48</v>
      </c>
      <c r="C15" s="82" t="s">
        <v>30</v>
      </c>
      <c r="D15" s="82" t="s">
        <v>732</v>
      </c>
      <c r="E15" s="82" t="s">
        <v>15</v>
      </c>
      <c r="F15" s="82" t="s">
        <v>11</v>
      </c>
      <c r="G15" s="266">
        <v>14.191051</v>
      </c>
    </row>
    <row r="16" spans="1:8" s="81" customFormat="1" x14ac:dyDescent="0.25">
      <c r="A16" s="82" t="s">
        <v>49</v>
      </c>
      <c r="B16" s="82" t="s">
        <v>50</v>
      </c>
      <c r="C16" s="82" t="s">
        <v>30</v>
      </c>
      <c r="D16" s="82" t="s">
        <v>732</v>
      </c>
      <c r="E16" s="82" t="s">
        <v>15</v>
      </c>
      <c r="F16" s="82" t="s">
        <v>11</v>
      </c>
      <c r="G16" s="266">
        <v>26.834871</v>
      </c>
    </row>
    <row r="17" spans="1:7" s="81" customFormat="1" x14ac:dyDescent="0.25">
      <c r="A17" s="82" t="s">
        <v>20</v>
      </c>
      <c r="B17" s="82" t="s">
        <v>21</v>
      </c>
      <c r="C17" s="82" t="s">
        <v>18</v>
      </c>
      <c r="D17" s="82" t="s">
        <v>19</v>
      </c>
      <c r="E17" s="82" t="s">
        <v>727</v>
      </c>
      <c r="F17" s="82" t="s">
        <v>11</v>
      </c>
      <c r="G17" s="266">
        <v>32.186497000000003</v>
      </c>
    </row>
    <row r="18" spans="1:7" s="81" customFormat="1" x14ac:dyDescent="0.25">
      <c r="A18" s="82" t="s">
        <v>51</v>
      </c>
      <c r="B18" s="82" t="s">
        <v>52</v>
      </c>
      <c r="C18" s="82" t="s">
        <v>14</v>
      </c>
      <c r="D18" s="82" t="s">
        <v>740</v>
      </c>
      <c r="E18" s="82" t="s">
        <v>15</v>
      </c>
      <c r="F18" s="82" t="s">
        <v>11</v>
      </c>
      <c r="G18" s="266">
        <v>182.88598999999999</v>
      </c>
    </row>
    <row r="19" spans="1:7" s="81" customFormat="1" x14ac:dyDescent="0.25">
      <c r="A19" s="82" t="s">
        <v>38</v>
      </c>
      <c r="B19" s="82" t="s">
        <v>39</v>
      </c>
      <c r="C19" s="82" t="s">
        <v>24</v>
      </c>
      <c r="D19" s="82" t="s">
        <v>735</v>
      </c>
      <c r="E19" s="82" t="s">
        <v>728</v>
      </c>
      <c r="F19" s="82" t="s">
        <v>11</v>
      </c>
      <c r="G19" s="266">
        <v>59.577599999999997</v>
      </c>
    </row>
    <row r="20" spans="1:7" s="129" customFormat="1" x14ac:dyDescent="0.25">
      <c r="A20" s="130" t="s">
        <v>53</v>
      </c>
      <c r="B20" s="130" t="s">
        <v>54</v>
      </c>
      <c r="C20" s="130" t="s">
        <v>30</v>
      </c>
      <c r="D20" s="130" t="s">
        <v>732</v>
      </c>
      <c r="E20" s="130" t="s">
        <v>727</v>
      </c>
      <c r="F20" s="130" t="s">
        <v>11</v>
      </c>
      <c r="G20" s="266">
        <v>1.6272883</v>
      </c>
    </row>
    <row r="21" spans="1:7" s="81" customFormat="1" x14ac:dyDescent="0.25">
      <c r="A21" s="82" t="s">
        <v>55</v>
      </c>
      <c r="B21" s="82" t="s">
        <v>56</v>
      </c>
      <c r="C21" s="82" t="s">
        <v>14</v>
      </c>
      <c r="D21" s="82" t="s">
        <v>740</v>
      </c>
      <c r="E21" s="82" t="s">
        <v>728</v>
      </c>
      <c r="F21" s="82" t="s">
        <v>11</v>
      </c>
      <c r="G21" s="266">
        <v>104.26223</v>
      </c>
    </row>
    <row r="22" spans="1:7" s="81" customFormat="1" x14ac:dyDescent="0.25">
      <c r="A22" s="82" t="s">
        <v>57</v>
      </c>
      <c r="B22" s="82" t="s">
        <v>58</v>
      </c>
      <c r="C22" s="82" t="s">
        <v>46</v>
      </c>
      <c r="D22" s="82" t="s">
        <v>739</v>
      </c>
      <c r="E22" s="82" t="s">
        <v>728</v>
      </c>
      <c r="F22" s="82" t="s">
        <v>11</v>
      </c>
      <c r="G22" s="266">
        <v>35.330883</v>
      </c>
    </row>
    <row r="23" spans="1:7" s="81" customFormat="1" x14ac:dyDescent="0.25">
      <c r="A23" s="82" t="s">
        <v>59</v>
      </c>
      <c r="B23" s="82" t="s">
        <v>60</v>
      </c>
      <c r="C23" s="82" t="s">
        <v>9</v>
      </c>
      <c r="D23" s="82" t="s">
        <v>10</v>
      </c>
      <c r="E23" s="82" t="s">
        <v>15</v>
      </c>
      <c r="F23" s="82" t="s">
        <v>11</v>
      </c>
      <c r="G23" s="266">
        <v>245.82301000000001</v>
      </c>
    </row>
    <row r="24" spans="1:7" s="81" customFormat="1" x14ac:dyDescent="0.25">
      <c r="A24" s="82" t="s">
        <v>61</v>
      </c>
      <c r="B24" s="82" t="s">
        <v>62</v>
      </c>
      <c r="C24" s="82" t="s">
        <v>63</v>
      </c>
      <c r="D24" s="82" t="s">
        <v>64</v>
      </c>
      <c r="E24" s="82" t="s">
        <v>15</v>
      </c>
      <c r="F24" s="82" t="s">
        <v>11</v>
      </c>
      <c r="G24" s="266">
        <v>211.43826000000001</v>
      </c>
    </row>
    <row r="25" spans="1:7" s="28" customFormat="1" x14ac:dyDescent="0.25">
      <c r="A25" s="86" t="s">
        <v>65</v>
      </c>
      <c r="B25" s="86" t="s">
        <v>66</v>
      </c>
      <c r="C25" s="86" t="s">
        <v>27</v>
      </c>
      <c r="D25" s="86" t="s">
        <v>738</v>
      </c>
      <c r="E25" s="86" t="s">
        <v>726</v>
      </c>
      <c r="F25" s="86" t="s">
        <v>35</v>
      </c>
      <c r="G25" s="266">
        <v>324.39852999999999</v>
      </c>
    </row>
    <row r="26" spans="1:7" s="81" customFormat="1" x14ac:dyDescent="0.25">
      <c r="A26" s="82" t="s">
        <v>67</v>
      </c>
      <c r="B26" s="82" t="s">
        <v>68</v>
      </c>
      <c r="C26" s="82" t="s">
        <v>30</v>
      </c>
      <c r="D26" s="82" t="s">
        <v>732</v>
      </c>
      <c r="E26" s="82" t="s">
        <v>727</v>
      </c>
      <c r="F26" s="82" t="s">
        <v>11</v>
      </c>
      <c r="G26" s="266">
        <v>31.975603</v>
      </c>
    </row>
    <row r="27" spans="1:7" s="81" customFormat="1" x14ac:dyDescent="0.25">
      <c r="A27" s="82" t="s">
        <v>69</v>
      </c>
      <c r="B27" s="82" t="s">
        <v>70</v>
      </c>
      <c r="C27" s="82" t="s">
        <v>14</v>
      </c>
      <c r="D27" s="82" t="s">
        <v>740</v>
      </c>
      <c r="E27" s="82" t="s">
        <v>728</v>
      </c>
      <c r="F27" s="82" t="s">
        <v>11</v>
      </c>
      <c r="G27" s="266">
        <v>17.753408</v>
      </c>
    </row>
    <row r="28" spans="1:7" s="81" customFormat="1" x14ac:dyDescent="0.25">
      <c r="A28" s="82" t="s">
        <v>71</v>
      </c>
      <c r="B28" s="82" t="s">
        <v>72</v>
      </c>
      <c r="C28" s="82" t="s">
        <v>63</v>
      </c>
      <c r="D28" s="82" t="s">
        <v>64</v>
      </c>
      <c r="E28" s="82" t="s">
        <v>15</v>
      </c>
      <c r="F28" s="82" t="s">
        <v>11</v>
      </c>
      <c r="G28" s="266">
        <v>37.960850000000001</v>
      </c>
    </row>
    <row r="29" spans="1:7" s="135" customFormat="1" x14ac:dyDescent="0.25">
      <c r="A29" s="134" t="s">
        <v>16</v>
      </c>
      <c r="B29" s="134" t="s">
        <v>17</v>
      </c>
      <c r="C29" s="134" t="s">
        <v>18</v>
      </c>
      <c r="D29" s="134" t="s">
        <v>19</v>
      </c>
      <c r="E29" s="134" t="s">
        <v>727</v>
      </c>
      <c r="F29" s="134" t="s">
        <v>11</v>
      </c>
      <c r="G29" s="271">
        <v>35.705539999999999</v>
      </c>
    </row>
    <row r="30" spans="1:7" s="182" customFormat="1" x14ac:dyDescent="0.25">
      <c r="A30" s="183" t="s">
        <v>73</v>
      </c>
      <c r="B30" s="183" t="s">
        <v>74</v>
      </c>
      <c r="C30" s="183" t="s">
        <v>75</v>
      </c>
      <c r="D30" s="183" t="s">
        <v>76</v>
      </c>
      <c r="E30" s="183" t="s">
        <v>727</v>
      </c>
      <c r="F30" s="183" t="s">
        <v>77</v>
      </c>
      <c r="G30" s="266">
        <v>7.93302</v>
      </c>
    </row>
    <row r="31" spans="1:7" s="81" customFormat="1" x14ac:dyDescent="0.25">
      <c r="A31" s="82" t="s">
        <v>78</v>
      </c>
      <c r="B31" s="82" t="s">
        <v>79</v>
      </c>
      <c r="C31" s="82" t="s">
        <v>80</v>
      </c>
      <c r="D31" s="82" t="s">
        <v>733</v>
      </c>
      <c r="E31" s="82" t="s">
        <v>728</v>
      </c>
      <c r="F31" s="82" t="s">
        <v>11</v>
      </c>
      <c r="G31" s="266">
        <v>113.05837</v>
      </c>
    </row>
    <row r="32" spans="1:7" s="135" customFormat="1" x14ac:dyDescent="0.25">
      <c r="A32" s="134" t="s">
        <v>81</v>
      </c>
      <c r="B32" s="134" t="s">
        <v>82</v>
      </c>
      <c r="C32" s="134" t="s">
        <v>14</v>
      </c>
      <c r="D32" s="134" t="s">
        <v>740</v>
      </c>
      <c r="E32" s="134" t="s">
        <v>15</v>
      </c>
      <c r="F32" s="134" t="s">
        <v>11</v>
      </c>
      <c r="G32" s="271">
        <v>39.086849999999998</v>
      </c>
    </row>
    <row r="33" spans="1:7" s="81" customFormat="1" x14ac:dyDescent="0.25">
      <c r="A33" s="82" t="s">
        <v>83</v>
      </c>
      <c r="B33" s="82" t="s">
        <v>84</v>
      </c>
      <c r="C33" s="82" t="s">
        <v>80</v>
      </c>
      <c r="D33" s="82" t="s">
        <v>733</v>
      </c>
      <c r="E33" s="82" t="s">
        <v>728</v>
      </c>
      <c r="F33" s="82" t="s">
        <v>11</v>
      </c>
      <c r="G33" s="266">
        <v>95.010490000000004</v>
      </c>
    </row>
    <row r="34" spans="1:7" s="135" customFormat="1" x14ac:dyDescent="0.25">
      <c r="A34" s="134" t="s">
        <v>81</v>
      </c>
      <c r="B34" s="134" t="s">
        <v>82</v>
      </c>
      <c r="C34" s="134" t="s">
        <v>14</v>
      </c>
      <c r="D34" s="134" t="s">
        <v>740</v>
      </c>
      <c r="E34" s="134" t="s">
        <v>728</v>
      </c>
      <c r="F34" s="134" t="s">
        <v>11</v>
      </c>
      <c r="G34" s="271">
        <v>37.115603999999998</v>
      </c>
    </row>
    <row r="35" spans="1:7" s="81" customFormat="1" x14ac:dyDescent="0.25">
      <c r="A35" s="82" t="s">
        <v>85</v>
      </c>
      <c r="B35" s="82" t="s">
        <v>86</v>
      </c>
      <c r="C35" s="82" t="s">
        <v>18</v>
      </c>
      <c r="D35" s="82" t="s">
        <v>19</v>
      </c>
      <c r="E35" s="82" t="s">
        <v>727</v>
      </c>
      <c r="F35" s="82" t="s">
        <v>11</v>
      </c>
      <c r="G35" s="266">
        <v>32.515616999999999</v>
      </c>
    </row>
    <row r="36" spans="1:7" s="81" customFormat="1" x14ac:dyDescent="0.25">
      <c r="A36" s="82" t="s">
        <v>87</v>
      </c>
      <c r="B36" s="82" t="s">
        <v>88</v>
      </c>
      <c r="C36" s="82" t="s">
        <v>80</v>
      </c>
      <c r="D36" s="82" t="s">
        <v>733</v>
      </c>
      <c r="E36" s="82" t="s">
        <v>15</v>
      </c>
      <c r="F36" s="82" t="s">
        <v>11</v>
      </c>
      <c r="G36" s="266">
        <v>356.45267000000001</v>
      </c>
    </row>
    <row r="37" spans="1:7" s="81" customFormat="1" x14ac:dyDescent="0.25">
      <c r="A37" s="82" t="s">
        <v>89</v>
      </c>
      <c r="B37" s="82" t="s">
        <v>90</v>
      </c>
      <c r="C37" s="82" t="s">
        <v>14</v>
      </c>
      <c r="D37" s="82" t="s">
        <v>740</v>
      </c>
      <c r="E37" s="82" t="s">
        <v>728</v>
      </c>
      <c r="F37" s="82" t="s">
        <v>11</v>
      </c>
      <c r="G37" s="266">
        <v>122.01161999999999</v>
      </c>
    </row>
    <row r="38" spans="1:7" s="81" customFormat="1" x14ac:dyDescent="0.25">
      <c r="A38" s="82" t="s">
        <v>91</v>
      </c>
      <c r="B38" s="82" t="s">
        <v>92</v>
      </c>
      <c r="C38" s="82" t="s">
        <v>27</v>
      </c>
      <c r="D38" s="82" t="s">
        <v>738</v>
      </c>
      <c r="E38" s="82" t="s">
        <v>728</v>
      </c>
      <c r="F38" s="82" t="s">
        <v>11</v>
      </c>
      <c r="G38" s="266">
        <v>19.409903</v>
      </c>
    </row>
    <row r="39" spans="1:7" s="81" customFormat="1" x14ac:dyDescent="0.25">
      <c r="A39" s="82" t="s">
        <v>85</v>
      </c>
      <c r="B39" s="82" t="s">
        <v>86</v>
      </c>
      <c r="C39" s="82" t="s">
        <v>18</v>
      </c>
      <c r="D39" s="82" t="s">
        <v>19</v>
      </c>
      <c r="E39" s="82" t="s">
        <v>728</v>
      </c>
      <c r="F39" s="82" t="s">
        <v>11</v>
      </c>
      <c r="G39" s="266">
        <v>74.489019999999996</v>
      </c>
    </row>
    <row r="40" spans="1:7" s="81" customFormat="1" x14ac:dyDescent="0.25">
      <c r="A40" s="82" t="s">
        <v>93</v>
      </c>
      <c r="B40" s="82" t="s">
        <v>94</v>
      </c>
      <c r="C40" s="312">
        <v>200066918</v>
      </c>
      <c r="D40" s="82" t="s">
        <v>732</v>
      </c>
      <c r="E40" s="82" t="s">
        <v>15</v>
      </c>
      <c r="F40" s="82" t="s">
        <v>11</v>
      </c>
      <c r="G40" s="266">
        <v>197.45017999999999</v>
      </c>
    </row>
    <row r="41" spans="1:7" s="129" customFormat="1" x14ac:dyDescent="0.25">
      <c r="A41" s="130" t="s">
        <v>95</v>
      </c>
      <c r="B41" s="130" t="s">
        <v>96</v>
      </c>
      <c r="C41" s="130" t="s">
        <v>30</v>
      </c>
      <c r="D41" s="130" t="s">
        <v>732</v>
      </c>
      <c r="E41" s="130" t="s">
        <v>727</v>
      </c>
      <c r="F41" s="130" t="s">
        <v>11</v>
      </c>
      <c r="G41" s="266">
        <v>1.1638386999999999</v>
      </c>
    </row>
    <row r="42" spans="1:7" s="182" customFormat="1" x14ac:dyDescent="0.25">
      <c r="A42" s="183" t="s">
        <v>97</v>
      </c>
      <c r="B42" s="183" t="s">
        <v>98</v>
      </c>
      <c r="C42" s="183" t="s">
        <v>75</v>
      </c>
      <c r="D42" s="183" t="s">
        <v>76</v>
      </c>
      <c r="E42" s="183" t="s">
        <v>15</v>
      </c>
      <c r="F42" s="183" t="s">
        <v>77</v>
      </c>
      <c r="G42" s="266">
        <v>343.42534999999998</v>
      </c>
    </row>
    <row r="43" spans="1:7" s="81" customFormat="1" x14ac:dyDescent="0.25">
      <c r="A43" s="82" t="s">
        <v>99</v>
      </c>
      <c r="B43" s="82" t="s">
        <v>100</v>
      </c>
      <c r="C43" s="82" t="s">
        <v>18</v>
      </c>
      <c r="D43" s="82" t="s">
        <v>19</v>
      </c>
      <c r="E43" s="82" t="s">
        <v>728</v>
      </c>
      <c r="F43" s="82" t="s">
        <v>11</v>
      </c>
      <c r="G43" s="266">
        <v>12.435205</v>
      </c>
    </row>
    <row r="44" spans="1:7" s="81" customFormat="1" x14ac:dyDescent="0.25">
      <c r="A44" s="82" t="s">
        <v>101</v>
      </c>
      <c r="B44" s="82" t="s">
        <v>102</v>
      </c>
      <c r="C44" s="82" t="s">
        <v>9</v>
      </c>
      <c r="D44" s="82" t="s">
        <v>10</v>
      </c>
      <c r="E44" s="82" t="s">
        <v>15</v>
      </c>
      <c r="F44" s="82" t="s">
        <v>11</v>
      </c>
      <c r="G44" s="266">
        <v>145.30352999999999</v>
      </c>
    </row>
    <row r="45" spans="1:7" s="28" customFormat="1" x14ac:dyDescent="0.25">
      <c r="A45" s="86" t="s">
        <v>103</v>
      </c>
      <c r="B45" s="86" t="s">
        <v>104</v>
      </c>
      <c r="C45" s="86" t="s">
        <v>27</v>
      </c>
      <c r="D45" s="86" t="s">
        <v>738</v>
      </c>
      <c r="E45" s="86" t="s">
        <v>726</v>
      </c>
      <c r="F45" s="86" t="s">
        <v>105</v>
      </c>
      <c r="G45" s="266">
        <v>114.236046</v>
      </c>
    </row>
    <row r="46" spans="1:7" s="182" customFormat="1" x14ac:dyDescent="0.25">
      <c r="A46" s="183" t="s">
        <v>97</v>
      </c>
      <c r="B46" s="183" t="s">
        <v>98</v>
      </c>
      <c r="C46" s="183" t="s">
        <v>75</v>
      </c>
      <c r="D46" s="183" t="s">
        <v>76</v>
      </c>
      <c r="E46" s="183" t="s">
        <v>727</v>
      </c>
      <c r="F46" s="183" t="s">
        <v>77</v>
      </c>
      <c r="G46" s="266">
        <v>17.388811</v>
      </c>
    </row>
    <row r="47" spans="1:7" s="81" customFormat="1" x14ac:dyDescent="0.25">
      <c r="A47" s="82" t="s">
        <v>106</v>
      </c>
      <c r="B47" s="82" t="s">
        <v>107</v>
      </c>
      <c r="C47" s="82" t="s">
        <v>30</v>
      </c>
      <c r="D47" s="82" t="s">
        <v>732</v>
      </c>
      <c r="E47" s="82" t="s">
        <v>15</v>
      </c>
      <c r="F47" s="82" t="s">
        <v>11</v>
      </c>
      <c r="G47" s="266">
        <v>42.913967</v>
      </c>
    </row>
    <row r="48" spans="1:7" s="81" customFormat="1" x14ac:dyDescent="0.25">
      <c r="A48" s="82" t="s">
        <v>108</v>
      </c>
      <c r="B48" s="82" t="s">
        <v>109</v>
      </c>
      <c r="C48" s="82" t="s">
        <v>18</v>
      </c>
      <c r="D48" s="82" t="s">
        <v>19</v>
      </c>
      <c r="E48" s="82" t="s">
        <v>727</v>
      </c>
      <c r="F48" s="82" t="s">
        <v>11</v>
      </c>
      <c r="G48" s="266">
        <v>202.28813</v>
      </c>
    </row>
    <row r="49" spans="1:7" s="81" customFormat="1" x14ac:dyDescent="0.25">
      <c r="A49" s="82" t="s">
        <v>110</v>
      </c>
      <c r="B49" s="82" t="s">
        <v>111</v>
      </c>
      <c r="C49" s="82" t="s">
        <v>30</v>
      </c>
      <c r="D49" s="82" t="s">
        <v>732</v>
      </c>
      <c r="E49" s="82" t="s">
        <v>728</v>
      </c>
      <c r="F49" s="82" t="s">
        <v>11</v>
      </c>
      <c r="G49" s="266">
        <v>12.694456000000001</v>
      </c>
    </row>
    <row r="50" spans="1:7" s="81" customFormat="1" x14ac:dyDescent="0.25">
      <c r="A50" s="82" t="s">
        <v>112</v>
      </c>
      <c r="B50" s="82" t="s">
        <v>113</v>
      </c>
      <c r="C50" s="82" t="s">
        <v>63</v>
      </c>
      <c r="D50" s="82" t="s">
        <v>64</v>
      </c>
      <c r="E50" s="82" t="s">
        <v>15</v>
      </c>
      <c r="F50" s="82" t="s">
        <v>11</v>
      </c>
      <c r="G50" s="266">
        <v>46.366126999999999</v>
      </c>
    </row>
    <row r="51" spans="1:7" s="129" customFormat="1" x14ac:dyDescent="0.25">
      <c r="A51" s="130" t="s">
        <v>55</v>
      </c>
      <c r="B51" s="130" t="s">
        <v>56</v>
      </c>
      <c r="C51" s="130" t="s">
        <v>14</v>
      </c>
      <c r="D51" s="130" t="s">
        <v>740</v>
      </c>
      <c r="E51" s="130" t="s">
        <v>727</v>
      </c>
      <c r="F51" s="130" t="s">
        <v>11</v>
      </c>
      <c r="G51" s="266">
        <v>0.52272620000000003</v>
      </c>
    </row>
    <row r="52" spans="1:7" s="81" customFormat="1" x14ac:dyDescent="0.25">
      <c r="A52" s="82" t="s">
        <v>114</v>
      </c>
      <c r="B52" s="82" t="s">
        <v>115</v>
      </c>
      <c r="C52" s="82" t="s">
        <v>46</v>
      </c>
      <c r="D52" s="82" t="s">
        <v>739</v>
      </c>
      <c r="E52" s="82" t="s">
        <v>727</v>
      </c>
      <c r="F52" s="82" t="s">
        <v>11</v>
      </c>
      <c r="G52" s="266">
        <v>7.8122679999999998E-3</v>
      </c>
    </row>
    <row r="53" spans="1:7" s="81" customFormat="1" x14ac:dyDescent="0.25">
      <c r="A53" s="82" t="s">
        <v>47</v>
      </c>
      <c r="B53" s="82" t="s">
        <v>48</v>
      </c>
      <c r="C53" s="82" t="s">
        <v>30</v>
      </c>
      <c r="D53" s="82" t="s">
        <v>732</v>
      </c>
      <c r="E53" s="82" t="s">
        <v>727</v>
      </c>
      <c r="F53" s="82" t="s">
        <v>11</v>
      </c>
      <c r="G53" s="266">
        <v>1.5503237000000001</v>
      </c>
    </row>
    <row r="54" spans="1:7" s="81" customFormat="1" x14ac:dyDescent="0.25">
      <c r="A54" s="82" t="s">
        <v>116</v>
      </c>
      <c r="B54" s="82" t="s">
        <v>117</v>
      </c>
      <c r="C54" s="82" t="s">
        <v>80</v>
      </c>
      <c r="D54" s="82" t="s">
        <v>733</v>
      </c>
      <c r="E54" s="82" t="s">
        <v>727</v>
      </c>
      <c r="F54" s="82" t="s">
        <v>11</v>
      </c>
      <c r="G54" s="266">
        <v>72.584620000000001</v>
      </c>
    </row>
    <row r="55" spans="1:7" s="81" customFormat="1" x14ac:dyDescent="0.25">
      <c r="A55" s="82" t="s">
        <v>118</v>
      </c>
      <c r="B55" s="82" t="s">
        <v>119</v>
      </c>
      <c r="C55" s="82" t="s">
        <v>24</v>
      </c>
      <c r="D55" s="82" t="s">
        <v>735</v>
      </c>
      <c r="E55" s="82" t="s">
        <v>728</v>
      </c>
      <c r="F55" s="82" t="s">
        <v>11</v>
      </c>
      <c r="G55" s="266">
        <v>63.719925000000003</v>
      </c>
    </row>
    <row r="56" spans="1:7" s="81" customFormat="1" x14ac:dyDescent="0.25">
      <c r="A56" s="82" t="s">
        <v>120</v>
      </c>
      <c r="B56" s="82" t="s">
        <v>121</v>
      </c>
      <c r="C56" s="82" t="s">
        <v>30</v>
      </c>
      <c r="D56" s="82" t="s">
        <v>732</v>
      </c>
      <c r="E56" s="82" t="s">
        <v>728</v>
      </c>
      <c r="F56" s="82" t="s">
        <v>11</v>
      </c>
      <c r="G56" s="266">
        <v>65.524190000000004</v>
      </c>
    </row>
    <row r="57" spans="1:7" s="81" customFormat="1" x14ac:dyDescent="0.25">
      <c r="A57" s="82" t="s">
        <v>122</v>
      </c>
      <c r="B57" s="82" t="s">
        <v>123</v>
      </c>
      <c r="C57" s="82" t="s">
        <v>30</v>
      </c>
      <c r="D57" s="82" t="s">
        <v>732</v>
      </c>
      <c r="E57" s="82" t="s">
        <v>728</v>
      </c>
      <c r="F57" s="82" t="s">
        <v>11</v>
      </c>
      <c r="G57" s="266">
        <v>59.621093999999999</v>
      </c>
    </row>
    <row r="58" spans="1:7" s="81" customFormat="1" x14ac:dyDescent="0.25">
      <c r="A58" s="82" t="s">
        <v>124</v>
      </c>
      <c r="B58" s="82" t="s">
        <v>125</v>
      </c>
      <c r="C58" s="82" t="s">
        <v>30</v>
      </c>
      <c r="D58" s="82" t="s">
        <v>732</v>
      </c>
      <c r="E58" s="82" t="s">
        <v>727</v>
      </c>
      <c r="F58" s="82" t="s">
        <v>11</v>
      </c>
      <c r="G58" s="266">
        <v>18.756613000000002</v>
      </c>
    </row>
    <row r="59" spans="1:7" s="81" customFormat="1" x14ac:dyDescent="0.25">
      <c r="A59" s="82" t="s">
        <v>126</v>
      </c>
      <c r="B59" s="82" t="s">
        <v>127</v>
      </c>
      <c r="C59" s="82" t="s">
        <v>9</v>
      </c>
      <c r="D59" s="82" t="s">
        <v>10</v>
      </c>
      <c r="E59" s="82" t="s">
        <v>15</v>
      </c>
      <c r="F59" s="82" t="s">
        <v>11</v>
      </c>
      <c r="G59" s="266">
        <v>392.44366000000002</v>
      </c>
    </row>
    <row r="60" spans="1:7" s="81" customFormat="1" x14ac:dyDescent="0.25">
      <c r="A60" s="82" t="s">
        <v>128</v>
      </c>
      <c r="B60" s="82" t="s">
        <v>129</v>
      </c>
      <c r="C60" s="82" t="s">
        <v>80</v>
      </c>
      <c r="D60" s="82" t="s">
        <v>733</v>
      </c>
      <c r="E60" s="82" t="s">
        <v>727</v>
      </c>
      <c r="F60" s="82" t="s">
        <v>11</v>
      </c>
      <c r="G60" s="266">
        <v>192.22461999999999</v>
      </c>
    </row>
    <row r="61" spans="1:7" s="182" customFormat="1" x14ac:dyDescent="0.25">
      <c r="A61" s="183" t="s">
        <v>130</v>
      </c>
      <c r="B61" s="183" t="s">
        <v>131</v>
      </c>
      <c r="C61" s="183" t="s">
        <v>63</v>
      </c>
      <c r="D61" s="183" t="s">
        <v>64</v>
      </c>
      <c r="E61" s="183" t="s">
        <v>15</v>
      </c>
      <c r="F61" s="183" t="s">
        <v>77</v>
      </c>
      <c r="G61" s="266">
        <v>379.05095999999998</v>
      </c>
    </row>
    <row r="62" spans="1:7" s="81" customFormat="1" x14ac:dyDescent="0.25">
      <c r="A62" s="82" t="s">
        <v>132</v>
      </c>
      <c r="B62" s="82" t="s">
        <v>133</v>
      </c>
      <c r="C62" s="82" t="s">
        <v>30</v>
      </c>
      <c r="D62" s="82" t="s">
        <v>732</v>
      </c>
      <c r="E62" s="82" t="s">
        <v>728</v>
      </c>
      <c r="F62" s="82" t="s">
        <v>11</v>
      </c>
      <c r="G62" s="266">
        <v>26.552744000000001</v>
      </c>
    </row>
    <row r="63" spans="1:7" s="102" customFormat="1" x14ac:dyDescent="0.25">
      <c r="A63" s="103" t="s">
        <v>134</v>
      </c>
      <c r="B63" s="103" t="s">
        <v>135</v>
      </c>
      <c r="C63" s="103" t="s">
        <v>14</v>
      </c>
      <c r="D63" s="103" t="s">
        <v>740</v>
      </c>
      <c r="E63" s="103" t="s">
        <v>729</v>
      </c>
      <c r="F63" s="103" t="s">
        <v>741</v>
      </c>
      <c r="G63" s="266">
        <v>1.2263637000000001</v>
      </c>
    </row>
    <row r="64" spans="1:7" s="54" customFormat="1" x14ac:dyDescent="0.25">
      <c r="A64" s="53" t="s">
        <v>136</v>
      </c>
      <c r="B64" s="53" t="s">
        <v>137</v>
      </c>
      <c r="C64" s="53" t="s">
        <v>27</v>
      </c>
      <c r="D64" s="53" t="s">
        <v>738</v>
      </c>
      <c r="E64" s="53" t="s">
        <v>728</v>
      </c>
      <c r="F64" s="53" t="s">
        <v>11</v>
      </c>
      <c r="G64" s="266">
        <v>6.7669499999999996</v>
      </c>
    </row>
    <row r="65" spans="1:7" s="28" customFormat="1" x14ac:dyDescent="0.25">
      <c r="A65" s="86" t="s">
        <v>138</v>
      </c>
      <c r="B65" s="86" t="s">
        <v>139</v>
      </c>
      <c r="C65" s="86" t="s">
        <v>140</v>
      </c>
      <c r="D65" s="86" t="s">
        <v>734</v>
      </c>
      <c r="E65" s="86" t="s">
        <v>726</v>
      </c>
      <c r="F65" s="86" t="s">
        <v>35</v>
      </c>
      <c r="G65" s="266">
        <v>85.129840000000002</v>
      </c>
    </row>
    <row r="66" spans="1:7" s="129" customFormat="1" x14ac:dyDescent="0.25">
      <c r="A66" s="130" t="s">
        <v>141</v>
      </c>
      <c r="B66" s="130" t="s">
        <v>142</v>
      </c>
      <c r="C66" s="130" t="s">
        <v>46</v>
      </c>
      <c r="D66" s="130" t="s">
        <v>739</v>
      </c>
      <c r="E66" s="130" t="s">
        <v>15</v>
      </c>
      <c r="F66" s="130" t="s">
        <v>11</v>
      </c>
      <c r="G66" s="266">
        <v>61.025289999999998</v>
      </c>
    </row>
    <row r="67" spans="1:7" s="81" customFormat="1" x14ac:dyDescent="0.25">
      <c r="A67" s="82" t="s">
        <v>124</v>
      </c>
      <c r="B67" s="82" t="s">
        <v>125</v>
      </c>
      <c r="C67" s="82" t="s">
        <v>30</v>
      </c>
      <c r="D67" s="82" t="s">
        <v>732</v>
      </c>
      <c r="E67" s="82" t="s">
        <v>728</v>
      </c>
      <c r="F67" s="82" t="s">
        <v>11</v>
      </c>
      <c r="G67" s="266">
        <v>32.363017999999997</v>
      </c>
    </row>
    <row r="68" spans="1:7" s="28" customFormat="1" x14ac:dyDescent="0.25">
      <c r="A68" s="86" t="s">
        <v>143</v>
      </c>
      <c r="B68" s="86" t="s">
        <v>144</v>
      </c>
      <c r="C68" s="86" t="s">
        <v>63</v>
      </c>
      <c r="D68" s="86" t="s">
        <v>64</v>
      </c>
      <c r="E68" s="86" t="s">
        <v>726</v>
      </c>
      <c r="F68" s="86" t="s">
        <v>35</v>
      </c>
      <c r="G68" s="266">
        <v>42.40381</v>
      </c>
    </row>
    <row r="69" spans="1:7" s="81" customFormat="1" x14ac:dyDescent="0.25">
      <c r="A69" s="82" t="s">
        <v>145</v>
      </c>
      <c r="B69" s="82" t="s">
        <v>146</v>
      </c>
      <c r="C69" s="82" t="s">
        <v>14</v>
      </c>
      <c r="D69" s="82" t="s">
        <v>740</v>
      </c>
      <c r="E69" s="82" t="s">
        <v>727</v>
      </c>
      <c r="F69" s="82" t="s">
        <v>11</v>
      </c>
      <c r="G69" s="266">
        <v>127.79525</v>
      </c>
    </row>
    <row r="70" spans="1:7" s="81" customFormat="1" x14ac:dyDescent="0.25">
      <c r="A70" s="82" t="s">
        <v>147</v>
      </c>
      <c r="B70" s="82" t="s">
        <v>148</v>
      </c>
      <c r="C70" s="82" t="s">
        <v>27</v>
      </c>
      <c r="D70" s="82" t="s">
        <v>738</v>
      </c>
      <c r="E70" s="82" t="s">
        <v>15</v>
      </c>
      <c r="F70" s="82" t="s">
        <v>11</v>
      </c>
      <c r="G70" s="266">
        <v>217.73580000000001</v>
      </c>
    </row>
    <row r="71" spans="1:7" s="102" customFormat="1" x14ac:dyDescent="0.25">
      <c r="A71" s="103" t="s">
        <v>149</v>
      </c>
      <c r="B71" s="103" t="s">
        <v>150</v>
      </c>
      <c r="C71" s="103" t="s">
        <v>14</v>
      </c>
      <c r="D71" s="103" t="s">
        <v>740</v>
      </c>
      <c r="E71" s="103" t="s">
        <v>728</v>
      </c>
      <c r="F71" s="103" t="s">
        <v>741</v>
      </c>
      <c r="G71" s="266">
        <v>32.643611999999997</v>
      </c>
    </row>
    <row r="72" spans="1:7" s="81" customFormat="1" x14ac:dyDescent="0.25">
      <c r="A72" s="82" t="s">
        <v>151</v>
      </c>
      <c r="B72" s="82" t="s">
        <v>152</v>
      </c>
      <c r="C72" s="82" t="s">
        <v>24</v>
      </c>
      <c r="D72" s="82" t="s">
        <v>735</v>
      </c>
      <c r="E72" s="82" t="s">
        <v>15</v>
      </c>
      <c r="F72" s="82" t="s">
        <v>11</v>
      </c>
      <c r="G72" s="266">
        <v>218.15826000000001</v>
      </c>
    </row>
    <row r="73" spans="1:7" s="81" customFormat="1" x14ac:dyDescent="0.25">
      <c r="A73" s="82" t="s">
        <v>153</v>
      </c>
      <c r="B73" s="82" t="s">
        <v>154</v>
      </c>
      <c r="C73" s="82" t="s">
        <v>80</v>
      </c>
      <c r="D73" s="82" t="s">
        <v>733</v>
      </c>
      <c r="E73" s="82" t="s">
        <v>15</v>
      </c>
      <c r="F73" s="82" t="s">
        <v>11</v>
      </c>
      <c r="G73" s="266">
        <v>8718.2389999999996</v>
      </c>
    </row>
    <row r="74" spans="1:7" s="28" customFormat="1" x14ac:dyDescent="0.25">
      <c r="A74" s="86" t="s">
        <v>155</v>
      </c>
      <c r="B74" s="86" t="s">
        <v>156</v>
      </c>
      <c r="C74" s="86" t="s">
        <v>157</v>
      </c>
      <c r="D74" s="86" t="s">
        <v>158</v>
      </c>
      <c r="E74" s="86" t="s">
        <v>726</v>
      </c>
      <c r="F74" s="86" t="s">
        <v>35</v>
      </c>
      <c r="G74" s="266">
        <v>32.929650000000002</v>
      </c>
    </row>
    <row r="75" spans="1:7" s="81" customFormat="1" x14ac:dyDescent="0.25">
      <c r="A75" s="82" t="s">
        <v>87</v>
      </c>
      <c r="B75" s="82" t="s">
        <v>88</v>
      </c>
      <c r="C75" s="82" t="s">
        <v>80</v>
      </c>
      <c r="D75" s="82" t="s">
        <v>733</v>
      </c>
      <c r="E75" s="82" t="s">
        <v>727</v>
      </c>
      <c r="F75" s="82" t="s">
        <v>11</v>
      </c>
      <c r="G75" s="266">
        <v>339.88443000000001</v>
      </c>
    </row>
    <row r="76" spans="1:7" s="81" customFormat="1" x14ac:dyDescent="0.25">
      <c r="A76" s="82" t="s">
        <v>40</v>
      </c>
      <c r="B76" s="82" t="s">
        <v>41</v>
      </c>
      <c r="C76" s="82" t="s">
        <v>30</v>
      </c>
      <c r="D76" s="82" t="s">
        <v>732</v>
      </c>
      <c r="E76" s="82" t="s">
        <v>15</v>
      </c>
      <c r="F76" s="82" t="s">
        <v>11</v>
      </c>
      <c r="G76" s="266">
        <v>90.862179999999995</v>
      </c>
    </row>
    <row r="77" spans="1:7" s="28" customFormat="1" x14ac:dyDescent="0.25">
      <c r="A77" s="86" t="s">
        <v>159</v>
      </c>
      <c r="B77" s="86" t="s">
        <v>160</v>
      </c>
      <c r="C77" s="86" t="s">
        <v>140</v>
      </c>
      <c r="D77" s="86" t="s">
        <v>734</v>
      </c>
      <c r="E77" s="86" t="s">
        <v>726</v>
      </c>
      <c r="F77" s="86" t="s">
        <v>35</v>
      </c>
      <c r="G77" s="266">
        <v>49.199570000000001</v>
      </c>
    </row>
    <row r="78" spans="1:7" s="129" customFormat="1" x14ac:dyDescent="0.25">
      <c r="A78" s="130" t="s">
        <v>161</v>
      </c>
      <c r="B78" s="130" t="s">
        <v>162</v>
      </c>
      <c r="C78" s="130" t="s">
        <v>80</v>
      </c>
      <c r="D78" s="130" t="s">
        <v>733</v>
      </c>
      <c r="E78" s="130" t="s">
        <v>15</v>
      </c>
      <c r="F78" s="130" t="s">
        <v>11</v>
      </c>
      <c r="G78" s="266">
        <v>38.381312999999999</v>
      </c>
    </row>
    <row r="79" spans="1:7" s="81" customFormat="1" x14ac:dyDescent="0.25">
      <c r="A79" s="82" t="s">
        <v>163</v>
      </c>
      <c r="B79" s="82" t="s">
        <v>164</v>
      </c>
      <c r="C79" s="82" t="s">
        <v>14</v>
      </c>
      <c r="D79" s="82" t="s">
        <v>740</v>
      </c>
      <c r="E79" s="82" t="s">
        <v>728</v>
      </c>
      <c r="F79" s="82" t="s">
        <v>11</v>
      </c>
      <c r="G79" s="266">
        <v>64.869609999999994</v>
      </c>
    </row>
    <row r="80" spans="1:7" s="129" customFormat="1" x14ac:dyDescent="0.25">
      <c r="A80" s="130" t="s">
        <v>165</v>
      </c>
      <c r="B80" s="130" t="s">
        <v>166</v>
      </c>
      <c r="C80" s="130" t="s">
        <v>30</v>
      </c>
      <c r="D80" s="130" t="s">
        <v>732</v>
      </c>
      <c r="E80" s="130" t="s">
        <v>727</v>
      </c>
      <c r="F80" s="130" t="s">
        <v>11</v>
      </c>
      <c r="G80" s="266">
        <v>0.32166373999999998</v>
      </c>
    </row>
    <row r="81" spans="1:7" s="81" customFormat="1" x14ac:dyDescent="0.25">
      <c r="A81" s="82" t="s">
        <v>116</v>
      </c>
      <c r="B81" s="82" t="s">
        <v>117</v>
      </c>
      <c r="C81" s="82" t="s">
        <v>80</v>
      </c>
      <c r="D81" s="82" t="s">
        <v>733</v>
      </c>
      <c r="E81" s="82" t="s">
        <v>729</v>
      </c>
      <c r="F81" s="82" t="s">
        <v>11</v>
      </c>
      <c r="G81" s="266">
        <v>1.6357481E-2</v>
      </c>
    </row>
    <row r="82" spans="1:7" s="81" customFormat="1" x14ac:dyDescent="0.25">
      <c r="A82" s="82" t="s">
        <v>147</v>
      </c>
      <c r="B82" s="82" t="s">
        <v>148</v>
      </c>
      <c r="C82" s="82" t="s">
        <v>27</v>
      </c>
      <c r="D82" s="82" t="s">
        <v>738</v>
      </c>
      <c r="E82" s="82" t="s">
        <v>728</v>
      </c>
      <c r="F82" s="82" t="s">
        <v>11</v>
      </c>
      <c r="G82" s="266">
        <v>21.525513</v>
      </c>
    </row>
    <row r="83" spans="1:7" s="81" customFormat="1" x14ac:dyDescent="0.25">
      <c r="A83" s="82" t="s">
        <v>167</v>
      </c>
      <c r="B83" s="82" t="s">
        <v>168</v>
      </c>
      <c r="C83" s="82" t="s">
        <v>33</v>
      </c>
      <c r="D83" s="82" t="s">
        <v>34</v>
      </c>
      <c r="E83" s="82" t="s">
        <v>727</v>
      </c>
      <c r="F83" s="82" t="s">
        <v>11</v>
      </c>
      <c r="G83" s="266">
        <v>181.35686000000001</v>
      </c>
    </row>
    <row r="84" spans="1:7" s="129" customFormat="1" x14ac:dyDescent="0.25">
      <c r="A84" s="130" t="s">
        <v>169</v>
      </c>
      <c r="B84" s="130" t="s">
        <v>170</v>
      </c>
      <c r="C84" s="130" t="s">
        <v>80</v>
      </c>
      <c r="D84" s="130" t="s">
        <v>733</v>
      </c>
      <c r="E84" s="130" t="s">
        <v>727</v>
      </c>
      <c r="F84" s="130" t="s">
        <v>11</v>
      </c>
      <c r="G84" s="266">
        <v>0.5966321</v>
      </c>
    </row>
    <row r="85" spans="1:7" s="81" customFormat="1" x14ac:dyDescent="0.25">
      <c r="A85" s="82" t="s">
        <v>171</v>
      </c>
      <c r="B85" s="82" t="s">
        <v>172</v>
      </c>
      <c r="C85" s="82" t="s">
        <v>30</v>
      </c>
      <c r="D85" s="82" t="s">
        <v>732</v>
      </c>
      <c r="E85" s="82" t="s">
        <v>15</v>
      </c>
      <c r="F85" s="82" t="s">
        <v>11</v>
      </c>
      <c r="G85" s="266">
        <v>315.96838000000002</v>
      </c>
    </row>
    <row r="86" spans="1:7" s="81" customFormat="1" x14ac:dyDescent="0.25">
      <c r="A86" s="82" t="s">
        <v>173</v>
      </c>
      <c r="B86" s="82" t="s">
        <v>174</v>
      </c>
      <c r="C86" s="82" t="s">
        <v>9</v>
      </c>
      <c r="D86" s="82" t="s">
        <v>10</v>
      </c>
      <c r="E86" s="82" t="s">
        <v>728</v>
      </c>
      <c r="F86" s="82" t="s">
        <v>11</v>
      </c>
      <c r="G86" s="266">
        <v>19.3096</v>
      </c>
    </row>
    <row r="87" spans="1:7" s="81" customFormat="1" x14ac:dyDescent="0.25">
      <c r="A87" s="82" t="s">
        <v>175</v>
      </c>
      <c r="B87" s="82" t="s">
        <v>176</v>
      </c>
      <c r="C87" s="82" t="s">
        <v>80</v>
      </c>
      <c r="D87" s="82" t="s">
        <v>733</v>
      </c>
      <c r="E87" s="82" t="s">
        <v>727</v>
      </c>
      <c r="F87" s="82" t="s">
        <v>11</v>
      </c>
      <c r="G87" s="266">
        <v>96.217269999999999</v>
      </c>
    </row>
    <row r="88" spans="1:7" s="81" customFormat="1" x14ac:dyDescent="0.25">
      <c r="A88" s="82" t="s">
        <v>177</v>
      </c>
      <c r="B88" s="82" t="s">
        <v>178</v>
      </c>
      <c r="C88" s="82" t="s">
        <v>63</v>
      </c>
      <c r="D88" s="82" t="s">
        <v>64</v>
      </c>
      <c r="E88" s="82" t="s">
        <v>727</v>
      </c>
      <c r="F88" s="82" t="s">
        <v>11</v>
      </c>
      <c r="G88" s="266">
        <v>21.529266</v>
      </c>
    </row>
    <row r="89" spans="1:7" s="129" customFormat="1" x14ac:dyDescent="0.25">
      <c r="A89" s="130" t="s">
        <v>179</v>
      </c>
      <c r="B89" s="130" t="s">
        <v>180</v>
      </c>
      <c r="C89" s="130" t="s">
        <v>30</v>
      </c>
      <c r="D89" s="130" t="s">
        <v>732</v>
      </c>
      <c r="E89" s="130" t="s">
        <v>727</v>
      </c>
      <c r="F89" s="130" t="s">
        <v>11</v>
      </c>
      <c r="G89" s="266">
        <v>1.0358415999999999</v>
      </c>
    </row>
    <row r="90" spans="1:7" s="81" customFormat="1" x14ac:dyDescent="0.25">
      <c r="A90" s="82" t="s">
        <v>181</v>
      </c>
      <c r="B90" s="82" t="s">
        <v>182</v>
      </c>
      <c r="C90" s="82" t="s">
        <v>14</v>
      </c>
      <c r="D90" s="82" t="s">
        <v>740</v>
      </c>
      <c r="E90" s="82" t="s">
        <v>728</v>
      </c>
      <c r="F90" s="82" t="s">
        <v>11</v>
      </c>
      <c r="G90" s="266">
        <v>85.337010000000006</v>
      </c>
    </row>
    <row r="91" spans="1:7" s="81" customFormat="1" x14ac:dyDescent="0.25">
      <c r="A91" s="82" t="s">
        <v>183</v>
      </c>
      <c r="B91" s="82" t="s">
        <v>184</v>
      </c>
      <c r="C91" s="82" t="s">
        <v>24</v>
      </c>
      <c r="D91" s="82" t="s">
        <v>735</v>
      </c>
      <c r="E91" s="82" t="s">
        <v>727</v>
      </c>
      <c r="F91" s="82" t="s">
        <v>11</v>
      </c>
      <c r="G91" s="266">
        <v>37.941679999999998</v>
      </c>
    </row>
    <row r="92" spans="1:7" s="81" customFormat="1" x14ac:dyDescent="0.25">
      <c r="A92" s="82" t="s">
        <v>145</v>
      </c>
      <c r="B92" s="82" t="s">
        <v>146</v>
      </c>
      <c r="C92" s="82" t="s">
        <v>14</v>
      </c>
      <c r="D92" s="82" t="s">
        <v>740</v>
      </c>
      <c r="E92" s="82" t="s">
        <v>15</v>
      </c>
      <c r="F92" s="82" t="s">
        <v>11</v>
      </c>
      <c r="G92" s="266">
        <v>122.28022</v>
      </c>
    </row>
    <row r="93" spans="1:7" s="81" customFormat="1" x14ac:dyDescent="0.25">
      <c r="A93" s="82" t="s">
        <v>185</v>
      </c>
      <c r="B93" s="82" t="s">
        <v>186</v>
      </c>
      <c r="C93" s="82" t="s">
        <v>80</v>
      </c>
      <c r="D93" s="82" t="s">
        <v>733</v>
      </c>
      <c r="E93" s="82" t="s">
        <v>728</v>
      </c>
      <c r="F93" s="82" t="s">
        <v>11</v>
      </c>
      <c r="G93" s="266">
        <v>46.733260000000001</v>
      </c>
    </row>
    <row r="94" spans="1:7" s="81" customFormat="1" x14ac:dyDescent="0.25">
      <c r="A94" s="82" t="s">
        <v>187</v>
      </c>
      <c r="B94" s="82" t="s">
        <v>188</v>
      </c>
      <c r="C94" s="82" t="s">
        <v>189</v>
      </c>
      <c r="D94" s="82" t="s">
        <v>190</v>
      </c>
      <c r="E94" s="82" t="s">
        <v>728</v>
      </c>
      <c r="F94" s="82" t="s">
        <v>11</v>
      </c>
      <c r="G94" s="266">
        <v>7.5875300000000003E-3</v>
      </c>
    </row>
    <row r="95" spans="1:7" s="81" customFormat="1" x14ac:dyDescent="0.25">
      <c r="A95" s="82" t="s">
        <v>191</v>
      </c>
      <c r="B95" s="82" t="s">
        <v>192</v>
      </c>
      <c r="C95" s="82" t="s">
        <v>75</v>
      </c>
      <c r="D95" s="82" t="s">
        <v>76</v>
      </c>
      <c r="E95" s="82" t="s">
        <v>727</v>
      </c>
      <c r="F95" s="82" t="s">
        <v>11</v>
      </c>
      <c r="G95" s="266">
        <v>68.15849</v>
      </c>
    </row>
    <row r="96" spans="1:7" s="81" customFormat="1" x14ac:dyDescent="0.25">
      <c r="A96" s="82" t="s">
        <v>193</v>
      </c>
      <c r="B96" s="82" t="s">
        <v>194</v>
      </c>
      <c r="C96" s="82" t="s">
        <v>189</v>
      </c>
      <c r="D96" s="82" t="s">
        <v>190</v>
      </c>
      <c r="E96" s="82" t="s">
        <v>15</v>
      </c>
      <c r="F96" s="82" t="s">
        <v>11</v>
      </c>
      <c r="G96" s="266">
        <v>5571.7790000000005</v>
      </c>
    </row>
    <row r="97" spans="1:7" s="81" customFormat="1" x14ac:dyDescent="0.25">
      <c r="A97" s="82" t="s">
        <v>118</v>
      </c>
      <c r="B97" s="82" t="s">
        <v>119</v>
      </c>
      <c r="C97" s="82" t="s">
        <v>24</v>
      </c>
      <c r="D97" s="82" t="s">
        <v>735</v>
      </c>
      <c r="E97" s="82" t="s">
        <v>727</v>
      </c>
      <c r="F97" s="82" t="s">
        <v>11</v>
      </c>
      <c r="G97" s="266">
        <v>20.592832999999999</v>
      </c>
    </row>
    <row r="98" spans="1:7" s="149" customFormat="1" x14ac:dyDescent="0.25">
      <c r="A98" s="166" t="s">
        <v>195</v>
      </c>
      <c r="B98" s="166" t="s">
        <v>196</v>
      </c>
      <c r="C98" s="166" t="s">
        <v>80</v>
      </c>
      <c r="D98" s="166" t="s">
        <v>733</v>
      </c>
      <c r="E98" s="166" t="s">
        <v>728</v>
      </c>
      <c r="F98" s="166" t="s">
        <v>11</v>
      </c>
      <c r="G98" s="266">
        <v>0.27264680000000002</v>
      </c>
    </row>
    <row r="99" spans="1:7" s="81" customFormat="1" x14ac:dyDescent="0.25">
      <c r="A99" s="82" t="s">
        <v>197</v>
      </c>
      <c r="B99" s="82" t="s">
        <v>198</v>
      </c>
      <c r="C99" s="82" t="s">
        <v>30</v>
      </c>
      <c r="D99" s="82" t="s">
        <v>732</v>
      </c>
      <c r="E99" s="82" t="s">
        <v>728</v>
      </c>
      <c r="F99" s="82" t="s">
        <v>11</v>
      </c>
      <c r="G99" s="266">
        <v>32.976643000000003</v>
      </c>
    </row>
    <row r="100" spans="1:7" s="81" customFormat="1" x14ac:dyDescent="0.25">
      <c r="A100" s="82" t="s">
        <v>199</v>
      </c>
      <c r="B100" s="82" t="s">
        <v>200</v>
      </c>
      <c r="C100" s="82" t="s">
        <v>14</v>
      </c>
      <c r="D100" s="82" t="s">
        <v>740</v>
      </c>
      <c r="E100" s="82" t="s">
        <v>728</v>
      </c>
      <c r="F100" s="82" t="s">
        <v>11</v>
      </c>
      <c r="G100" s="266">
        <v>34.194409999999998</v>
      </c>
    </row>
    <row r="101" spans="1:7" s="129" customFormat="1" x14ac:dyDescent="0.25">
      <c r="A101" s="130" t="s">
        <v>201</v>
      </c>
      <c r="B101" s="130" t="s">
        <v>202</v>
      </c>
      <c r="C101" s="130" t="s">
        <v>80</v>
      </c>
      <c r="D101" s="130" t="s">
        <v>733</v>
      </c>
      <c r="E101" s="130" t="s">
        <v>15</v>
      </c>
      <c r="F101" s="130" t="s">
        <v>11</v>
      </c>
      <c r="G101" s="266">
        <v>79.964860000000002</v>
      </c>
    </row>
    <row r="102" spans="1:7" s="81" customFormat="1" x14ac:dyDescent="0.25">
      <c r="A102" s="82" t="s">
        <v>87</v>
      </c>
      <c r="B102" s="82" t="s">
        <v>88</v>
      </c>
      <c r="C102" s="82" t="s">
        <v>80</v>
      </c>
      <c r="D102" s="82" t="s">
        <v>733</v>
      </c>
      <c r="E102" s="82" t="s">
        <v>729</v>
      </c>
      <c r="F102" s="82" t="s">
        <v>11</v>
      </c>
      <c r="G102" s="266">
        <v>1.3292238999999999</v>
      </c>
    </row>
    <row r="103" spans="1:7" s="81" customFormat="1" x14ac:dyDescent="0.25">
      <c r="A103" s="82" t="s">
        <v>12</v>
      </c>
      <c r="B103" s="82" t="s">
        <v>13</v>
      </c>
      <c r="C103" s="82" t="s">
        <v>14</v>
      </c>
      <c r="D103" s="82" t="s">
        <v>740</v>
      </c>
      <c r="E103" s="82" t="s">
        <v>728</v>
      </c>
      <c r="F103" s="82" t="s">
        <v>11</v>
      </c>
      <c r="G103" s="266">
        <v>17.733640000000001</v>
      </c>
    </row>
    <row r="104" spans="1:7" s="81" customFormat="1" x14ac:dyDescent="0.25">
      <c r="A104" s="82" t="s">
        <v>28</v>
      </c>
      <c r="B104" s="82" t="s">
        <v>29</v>
      </c>
      <c r="C104" s="82" t="s">
        <v>30</v>
      </c>
      <c r="D104" s="82" t="s">
        <v>732</v>
      </c>
      <c r="E104" s="82" t="s">
        <v>728</v>
      </c>
      <c r="F104" s="82" t="s">
        <v>11</v>
      </c>
      <c r="G104" s="266">
        <v>12.320356</v>
      </c>
    </row>
    <row r="105" spans="1:7" s="54" customFormat="1" x14ac:dyDescent="0.25">
      <c r="A105" s="53" t="s">
        <v>203</v>
      </c>
      <c r="B105" s="53" t="s">
        <v>204</v>
      </c>
      <c r="C105" s="53" t="s">
        <v>80</v>
      </c>
      <c r="D105" s="53" t="s">
        <v>733</v>
      </c>
      <c r="E105" s="53" t="s">
        <v>15</v>
      </c>
      <c r="F105" s="53" t="s">
        <v>11</v>
      </c>
      <c r="G105" s="266">
        <v>114.14792</v>
      </c>
    </row>
    <row r="106" spans="1:7" s="102" customFormat="1" x14ac:dyDescent="0.25">
      <c r="A106" s="103" t="s">
        <v>205</v>
      </c>
      <c r="B106" s="103" t="s">
        <v>206</v>
      </c>
      <c r="C106" s="103" t="s">
        <v>14</v>
      </c>
      <c r="D106" s="103" t="s">
        <v>740</v>
      </c>
      <c r="E106" s="103" t="s">
        <v>727</v>
      </c>
      <c r="F106" s="103" t="s">
        <v>741</v>
      </c>
      <c r="G106" s="266">
        <v>300.82922000000002</v>
      </c>
    </row>
    <row r="107" spans="1:7" s="81" customFormat="1" x14ac:dyDescent="0.25">
      <c r="A107" s="82" t="s">
        <v>207</v>
      </c>
      <c r="B107" s="82" t="s">
        <v>208</v>
      </c>
      <c r="C107" s="82" t="s">
        <v>33</v>
      </c>
      <c r="D107" s="82" t="s">
        <v>34</v>
      </c>
      <c r="E107" s="82" t="s">
        <v>728</v>
      </c>
      <c r="F107" s="82" t="s">
        <v>11</v>
      </c>
      <c r="G107" s="266">
        <v>273.54894999999999</v>
      </c>
    </row>
    <row r="108" spans="1:7" s="81" customFormat="1" x14ac:dyDescent="0.25">
      <c r="A108" s="82" t="s">
        <v>120</v>
      </c>
      <c r="B108" s="82" t="s">
        <v>121</v>
      </c>
      <c r="C108" s="82" t="s">
        <v>30</v>
      </c>
      <c r="D108" s="82" t="s">
        <v>732</v>
      </c>
      <c r="E108" s="82" t="s">
        <v>727</v>
      </c>
      <c r="F108" s="82" t="s">
        <v>11</v>
      </c>
      <c r="G108" s="266">
        <v>26.203444999999999</v>
      </c>
    </row>
    <row r="109" spans="1:7" s="135" customFormat="1" x14ac:dyDescent="0.25">
      <c r="A109" s="134" t="s">
        <v>116</v>
      </c>
      <c r="B109" s="134" t="s">
        <v>117</v>
      </c>
      <c r="C109" s="134" t="s">
        <v>80</v>
      </c>
      <c r="D109" s="134" t="s">
        <v>733</v>
      </c>
      <c r="E109" s="134" t="s">
        <v>15</v>
      </c>
      <c r="F109" s="134" t="s">
        <v>11</v>
      </c>
      <c r="G109" s="271">
        <v>90.721085000000002</v>
      </c>
    </row>
    <row r="110" spans="1:7" s="28" customFormat="1" x14ac:dyDescent="0.25">
      <c r="A110" s="86" t="s">
        <v>209</v>
      </c>
      <c r="B110" s="86" t="s">
        <v>210</v>
      </c>
      <c r="C110" s="86" t="s">
        <v>27</v>
      </c>
      <c r="D110" s="86" t="s">
        <v>738</v>
      </c>
      <c r="E110" s="86" t="s">
        <v>726</v>
      </c>
      <c r="F110" s="86" t="s">
        <v>35</v>
      </c>
      <c r="G110" s="266">
        <v>91.757720000000006</v>
      </c>
    </row>
    <row r="111" spans="1:7" s="81" customFormat="1" x14ac:dyDescent="0.25">
      <c r="A111" s="82" t="s">
        <v>211</v>
      </c>
      <c r="B111" s="82" t="s">
        <v>212</v>
      </c>
      <c r="C111" s="82" t="s">
        <v>30</v>
      </c>
      <c r="D111" s="82" t="s">
        <v>732</v>
      </c>
      <c r="E111" s="82" t="s">
        <v>15</v>
      </c>
      <c r="F111" s="82" t="s">
        <v>11</v>
      </c>
      <c r="G111" s="266">
        <v>25.252247000000001</v>
      </c>
    </row>
    <row r="112" spans="1:7" s="81" customFormat="1" x14ac:dyDescent="0.25">
      <c r="A112" s="82" t="s">
        <v>213</v>
      </c>
      <c r="B112" s="82" t="s">
        <v>214</v>
      </c>
      <c r="C112" s="82" t="s">
        <v>24</v>
      </c>
      <c r="D112" s="82" t="s">
        <v>735</v>
      </c>
      <c r="E112" s="82" t="s">
        <v>728</v>
      </c>
      <c r="F112" s="82" t="s">
        <v>11</v>
      </c>
      <c r="G112" s="266">
        <v>3.3111687000000001</v>
      </c>
    </row>
    <row r="113" spans="1:7" s="81" customFormat="1" x14ac:dyDescent="0.25">
      <c r="A113" s="82" t="s">
        <v>215</v>
      </c>
      <c r="B113" s="82" t="s">
        <v>216</v>
      </c>
      <c r="C113" s="82" t="s">
        <v>63</v>
      </c>
      <c r="D113" s="82" t="s">
        <v>64</v>
      </c>
      <c r="E113" s="82" t="s">
        <v>15</v>
      </c>
      <c r="F113" s="82" t="s">
        <v>11</v>
      </c>
      <c r="G113" s="266">
        <v>307.14499999999998</v>
      </c>
    </row>
    <row r="114" spans="1:7" s="81" customFormat="1" x14ac:dyDescent="0.25">
      <c r="A114" s="82" t="s">
        <v>217</v>
      </c>
      <c r="B114" s="82" t="s">
        <v>218</v>
      </c>
      <c r="C114" s="82" t="s">
        <v>30</v>
      </c>
      <c r="D114" s="82" t="s">
        <v>732</v>
      </c>
      <c r="E114" s="82" t="s">
        <v>727</v>
      </c>
      <c r="F114" s="82" t="s">
        <v>11</v>
      </c>
      <c r="G114" s="266">
        <v>2.8356922</v>
      </c>
    </row>
    <row r="115" spans="1:7" s="81" customFormat="1" x14ac:dyDescent="0.25">
      <c r="A115" s="82" t="s">
        <v>219</v>
      </c>
      <c r="B115" s="82" t="s">
        <v>220</v>
      </c>
      <c r="C115" s="82" t="s">
        <v>80</v>
      </c>
      <c r="D115" s="82" t="s">
        <v>733</v>
      </c>
      <c r="E115" s="82" t="s">
        <v>728</v>
      </c>
      <c r="F115" s="82" t="s">
        <v>11</v>
      </c>
      <c r="G115" s="266">
        <v>42.919888</v>
      </c>
    </row>
    <row r="116" spans="1:7" s="81" customFormat="1" x14ac:dyDescent="0.25">
      <c r="A116" s="82" t="s">
        <v>221</v>
      </c>
      <c r="B116" s="82" t="s">
        <v>222</v>
      </c>
      <c r="C116" s="82" t="s">
        <v>80</v>
      </c>
      <c r="D116" s="82" t="s">
        <v>733</v>
      </c>
      <c r="E116" s="82" t="s">
        <v>728</v>
      </c>
      <c r="F116" s="82" t="s">
        <v>11</v>
      </c>
      <c r="G116" s="266">
        <v>113.41879</v>
      </c>
    </row>
    <row r="117" spans="1:7" s="81" customFormat="1" x14ac:dyDescent="0.25">
      <c r="A117" s="82" t="s">
        <v>223</v>
      </c>
      <c r="B117" s="82" t="s">
        <v>224</v>
      </c>
      <c r="C117" s="82" t="s">
        <v>80</v>
      </c>
      <c r="D117" s="82" t="s">
        <v>733</v>
      </c>
      <c r="E117" s="82" t="s">
        <v>727</v>
      </c>
      <c r="F117" s="82" t="s">
        <v>11</v>
      </c>
      <c r="G117" s="266">
        <v>33.278744000000003</v>
      </c>
    </row>
    <row r="118" spans="1:7" s="81" customFormat="1" x14ac:dyDescent="0.25">
      <c r="A118" s="82" t="s">
        <v>225</v>
      </c>
      <c r="B118" s="82" t="s">
        <v>226</v>
      </c>
      <c r="C118" s="82" t="s">
        <v>227</v>
      </c>
      <c r="D118" s="82" t="s">
        <v>228</v>
      </c>
      <c r="E118" s="82" t="s">
        <v>728</v>
      </c>
      <c r="F118" s="82" t="s">
        <v>11</v>
      </c>
      <c r="G118" s="266">
        <v>224.81568999999999</v>
      </c>
    </row>
    <row r="119" spans="1:7" s="81" customFormat="1" x14ac:dyDescent="0.25">
      <c r="A119" s="82" t="s">
        <v>229</v>
      </c>
      <c r="B119" s="82" t="s">
        <v>230</v>
      </c>
      <c r="C119" s="82" t="s">
        <v>80</v>
      </c>
      <c r="D119" s="82" t="s">
        <v>733</v>
      </c>
      <c r="E119" s="82" t="s">
        <v>728</v>
      </c>
      <c r="F119" s="82" t="s">
        <v>11</v>
      </c>
      <c r="G119" s="266">
        <v>83.559399999999997</v>
      </c>
    </row>
    <row r="120" spans="1:7" s="81" customFormat="1" x14ac:dyDescent="0.25">
      <c r="A120" s="82" t="s">
        <v>231</v>
      </c>
      <c r="B120" s="82" t="s">
        <v>232</v>
      </c>
      <c r="C120" s="82" t="s">
        <v>63</v>
      </c>
      <c r="D120" s="82" t="s">
        <v>64</v>
      </c>
      <c r="E120" s="82" t="s">
        <v>15</v>
      </c>
      <c r="F120" s="82" t="s">
        <v>11</v>
      </c>
      <c r="G120" s="266">
        <v>237.04459</v>
      </c>
    </row>
    <row r="121" spans="1:7" s="81" customFormat="1" x14ac:dyDescent="0.25">
      <c r="A121" s="82" t="s">
        <v>233</v>
      </c>
      <c r="B121" s="82" t="s">
        <v>234</v>
      </c>
      <c r="C121" s="82" t="s">
        <v>80</v>
      </c>
      <c r="D121" s="82" t="s">
        <v>733</v>
      </c>
      <c r="E121" s="82" t="s">
        <v>728</v>
      </c>
      <c r="F121" s="82" t="s">
        <v>11</v>
      </c>
      <c r="G121" s="266">
        <v>11.983174</v>
      </c>
    </row>
    <row r="122" spans="1:7" s="28" customFormat="1" x14ac:dyDescent="0.25">
      <c r="A122" s="86" t="s">
        <v>235</v>
      </c>
      <c r="B122" s="86" t="s">
        <v>236</v>
      </c>
      <c r="C122" s="86" t="s">
        <v>140</v>
      </c>
      <c r="D122" s="86" t="s">
        <v>734</v>
      </c>
      <c r="E122" s="86" t="s">
        <v>726</v>
      </c>
      <c r="F122" s="86" t="s">
        <v>35</v>
      </c>
      <c r="G122" s="266">
        <v>64.263859999999994</v>
      </c>
    </row>
    <row r="123" spans="1:7" s="182" customFormat="1" x14ac:dyDescent="0.25">
      <c r="A123" s="183" t="s">
        <v>237</v>
      </c>
      <c r="B123" s="183" t="s">
        <v>238</v>
      </c>
      <c r="C123" s="183" t="s">
        <v>63</v>
      </c>
      <c r="D123" s="183" t="s">
        <v>64</v>
      </c>
      <c r="E123" s="183" t="s">
        <v>727</v>
      </c>
      <c r="F123" s="183" t="s">
        <v>77</v>
      </c>
      <c r="G123" s="266">
        <v>10.605842000000001</v>
      </c>
    </row>
    <row r="124" spans="1:7" s="28" customFormat="1" x14ac:dyDescent="0.25">
      <c r="A124" s="86" t="s">
        <v>239</v>
      </c>
      <c r="B124" s="86" t="s">
        <v>240</v>
      </c>
      <c r="C124" s="86" t="s">
        <v>63</v>
      </c>
      <c r="D124" s="86" t="s">
        <v>64</v>
      </c>
      <c r="E124" s="86" t="s">
        <v>726</v>
      </c>
      <c r="F124" s="86" t="s">
        <v>35</v>
      </c>
      <c r="G124" s="266">
        <v>292.86743000000001</v>
      </c>
    </row>
    <row r="125" spans="1:7" s="129" customFormat="1" x14ac:dyDescent="0.25">
      <c r="A125" s="130" t="s">
        <v>241</v>
      </c>
      <c r="B125" s="130" t="s">
        <v>242</v>
      </c>
      <c r="C125" s="130" t="s">
        <v>30</v>
      </c>
      <c r="D125" s="130" t="s">
        <v>732</v>
      </c>
      <c r="E125" s="130" t="s">
        <v>15</v>
      </c>
      <c r="F125" s="130" t="s">
        <v>11</v>
      </c>
      <c r="G125" s="266">
        <v>67.483429999999998</v>
      </c>
    </row>
    <row r="126" spans="1:7" s="81" customFormat="1" x14ac:dyDescent="0.25">
      <c r="A126" s="82" t="s">
        <v>243</v>
      </c>
      <c r="B126" s="82" t="s">
        <v>244</v>
      </c>
      <c r="C126" s="82" t="s">
        <v>46</v>
      </c>
      <c r="D126" s="82" t="s">
        <v>739</v>
      </c>
      <c r="E126" s="82" t="s">
        <v>15</v>
      </c>
      <c r="F126" s="82" t="s">
        <v>11</v>
      </c>
      <c r="G126" s="266">
        <v>179.45705000000001</v>
      </c>
    </row>
    <row r="127" spans="1:7" s="81" customFormat="1" x14ac:dyDescent="0.25">
      <c r="A127" s="82" t="s">
        <v>101</v>
      </c>
      <c r="B127" s="82" t="s">
        <v>102</v>
      </c>
      <c r="C127" s="82" t="s">
        <v>9</v>
      </c>
      <c r="D127" s="82" t="s">
        <v>10</v>
      </c>
      <c r="E127" s="82" t="s">
        <v>727</v>
      </c>
      <c r="F127" s="82" t="s">
        <v>11</v>
      </c>
      <c r="G127" s="266">
        <v>63.956969999999998</v>
      </c>
    </row>
    <row r="128" spans="1:7" s="81" customFormat="1" x14ac:dyDescent="0.25">
      <c r="A128" s="82" t="s">
        <v>245</v>
      </c>
      <c r="B128" s="82" t="s">
        <v>246</v>
      </c>
      <c r="C128" s="82" t="s">
        <v>9</v>
      </c>
      <c r="D128" s="82" t="s">
        <v>10</v>
      </c>
      <c r="E128" s="82" t="s">
        <v>728</v>
      </c>
      <c r="F128" s="82" t="s">
        <v>11</v>
      </c>
      <c r="G128" s="266">
        <v>68.105959999999996</v>
      </c>
    </row>
    <row r="129" spans="1:8" s="81" customFormat="1" x14ac:dyDescent="0.25">
      <c r="A129" s="82" t="s">
        <v>207</v>
      </c>
      <c r="B129" s="82" t="s">
        <v>208</v>
      </c>
      <c r="C129" s="82" t="s">
        <v>33</v>
      </c>
      <c r="D129" s="82" t="s">
        <v>34</v>
      </c>
      <c r="E129" s="82" t="s">
        <v>727</v>
      </c>
      <c r="F129" s="82" t="s">
        <v>11</v>
      </c>
      <c r="G129" s="266">
        <v>356.61900000000003</v>
      </c>
    </row>
    <row r="130" spans="1:8" s="81" customFormat="1" x14ac:dyDescent="0.25">
      <c r="A130" s="82" t="s">
        <v>247</v>
      </c>
      <c r="B130" s="82" t="s">
        <v>248</v>
      </c>
      <c r="C130" s="82" t="s">
        <v>46</v>
      </c>
      <c r="D130" s="82" t="s">
        <v>739</v>
      </c>
      <c r="E130" s="82" t="s">
        <v>15</v>
      </c>
      <c r="F130" s="82" t="s">
        <v>11</v>
      </c>
      <c r="G130" s="266">
        <v>117.55754</v>
      </c>
    </row>
    <row r="131" spans="1:8" s="81" customFormat="1" x14ac:dyDescent="0.25">
      <c r="A131" s="82" t="s">
        <v>249</v>
      </c>
      <c r="B131" s="82" t="s">
        <v>250</v>
      </c>
      <c r="C131" s="82" t="s">
        <v>46</v>
      </c>
      <c r="D131" s="82" t="s">
        <v>739</v>
      </c>
      <c r="E131" s="82" t="s">
        <v>727</v>
      </c>
      <c r="F131" s="82" t="s">
        <v>11</v>
      </c>
      <c r="G131" s="266">
        <v>7.4576729999999998</v>
      </c>
    </row>
    <row r="132" spans="1:8" s="28" customFormat="1" x14ac:dyDescent="0.25">
      <c r="A132" s="86" t="s">
        <v>251</v>
      </c>
      <c r="B132" s="86" t="s">
        <v>252</v>
      </c>
      <c r="C132" s="86" t="s">
        <v>46</v>
      </c>
      <c r="D132" s="86" t="s">
        <v>739</v>
      </c>
      <c r="E132" s="86" t="s">
        <v>726</v>
      </c>
      <c r="F132" s="86" t="s">
        <v>35</v>
      </c>
      <c r="G132" s="266">
        <v>89.228713999999997</v>
      </c>
    </row>
    <row r="133" spans="1:8" s="81" customFormat="1" x14ac:dyDescent="0.25">
      <c r="A133" s="82" t="s">
        <v>116</v>
      </c>
      <c r="B133" s="82" t="s">
        <v>117</v>
      </c>
      <c r="C133" s="82" t="s">
        <v>80</v>
      </c>
      <c r="D133" s="82" t="s">
        <v>733</v>
      </c>
      <c r="E133" s="82" t="s">
        <v>728</v>
      </c>
      <c r="F133" s="82" t="s">
        <v>11</v>
      </c>
      <c r="G133" s="266">
        <v>62.438015</v>
      </c>
    </row>
    <row r="134" spans="1:8" s="81" customFormat="1" x14ac:dyDescent="0.25">
      <c r="A134" s="82" t="s">
        <v>89</v>
      </c>
      <c r="B134" s="82" t="s">
        <v>90</v>
      </c>
      <c r="C134" s="82" t="s">
        <v>14</v>
      </c>
      <c r="D134" s="82" t="s">
        <v>740</v>
      </c>
      <c r="E134" s="82" t="s">
        <v>727</v>
      </c>
      <c r="F134" s="82" t="s">
        <v>11</v>
      </c>
      <c r="G134" s="266">
        <v>38.418100000000003</v>
      </c>
    </row>
    <row r="135" spans="1:8" s="81" customFormat="1" x14ac:dyDescent="0.25">
      <c r="A135" s="82" t="s">
        <v>12</v>
      </c>
      <c r="B135" s="82" t="s">
        <v>13</v>
      </c>
      <c r="C135" s="82" t="s">
        <v>14</v>
      </c>
      <c r="D135" s="82" t="s">
        <v>740</v>
      </c>
      <c r="E135" s="82" t="s">
        <v>727</v>
      </c>
      <c r="F135" s="82" t="s">
        <v>11</v>
      </c>
      <c r="G135" s="266">
        <v>5.4751070000000004</v>
      </c>
    </row>
    <row r="136" spans="1:8" s="81" customFormat="1" x14ac:dyDescent="0.25">
      <c r="A136" s="82" t="s">
        <v>253</v>
      </c>
      <c r="B136" s="82" t="s">
        <v>254</v>
      </c>
      <c r="C136" s="82" t="s">
        <v>30</v>
      </c>
      <c r="D136" s="82" t="s">
        <v>732</v>
      </c>
      <c r="E136" s="82" t="s">
        <v>728</v>
      </c>
      <c r="F136" s="82" t="s">
        <v>11</v>
      </c>
      <c r="G136" s="266">
        <v>58.589984999999999</v>
      </c>
    </row>
    <row r="137" spans="1:8" s="81" customFormat="1" x14ac:dyDescent="0.25">
      <c r="A137" s="82" t="s">
        <v>255</v>
      </c>
      <c r="B137" s="82" t="s">
        <v>256</v>
      </c>
      <c r="C137" s="82" t="s">
        <v>30</v>
      </c>
      <c r="D137" s="82" t="s">
        <v>732</v>
      </c>
      <c r="E137" s="82" t="s">
        <v>727</v>
      </c>
      <c r="F137" s="82" t="s">
        <v>11</v>
      </c>
      <c r="G137" s="266">
        <v>26.13307</v>
      </c>
    </row>
    <row r="138" spans="1:8" s="81" customFormat="1" x14ac:dyDescent="0.25">
      <c r="A138" s="82" t="s">
        <v>257</v>
      </c>
      <c r="B138" s="82" t="s">
        <v>258</v>
      </c>
      <c r="C138" s="82" t="s">
        <v>14</v>
      </c>
      <c r="D138" s="82" t="s">
        <v>740</v>
      </c>
      <c r="E138" s="82" t="s">
        <v>727</v>
      </c>
      <c r="F138" s="82" t="s">
        <v>11</v>
      </c>
      <c r="G138" s="266">
        <v>9.8799240000000008</v>
      </c>
    </row>
    <row r="139" spans="1:8" s="182" customFormat="1" x14ac:dyDescent="0.25">
      <c r="A139" s="183" t="s">
        <v>237</v>
      </c>
      <c r="B139" s="183" t="s">
        <v>238</v>
      </c>
      <c r="C139" s="183" t="s">
        <v>63</v>
      </c>
      <c r="D139" s="183" t="s">
        <v>64</v>
      </c>
      <c r="E139" s="183" t="s">
        <v>15</v>
      </c>
      <c r="F139" s="183" t="s">
        <v>77</v>
      </c>
      <c r="G139" s="266">
        <v>9.8937360000000002E-2</v>
      </c>
    </row>
    <row r="140" spans="1:8" s="81" customFormat="1" x14ac:dyDescent="0.25">
      <c r="A140" s="82" t="s">
        <v>259</v>
      </c>
      <c r="B140" s="82" t="s">
        <v>260</v>
      </c>
      <c r="C140" s="82" t="s">
        <v>30</v>
      </c>
      <c r="D140" s="82" t="s">
        <v>732</v>
      </c>
      <c r="E140" s="82" t="s">
        <v>15</v>
      </c>
      <c r="F140" s="82" t="s">
        <v>11</v>
      </c>
      <c r="G140" s="266">
        <v>477.20600000000002</v>
      </c>
    </row>
    <row r="141" spans="1:8" s="81" customFormat="1" x14ac:dyDescent="0.25">
      <c r="A141" s="82" t="s">
        <v>225</v>
      </c>
      <c r="B141" s="82" t="s">
        <v>226</v>
      </c>
      <c r="C141" s="82" t="s">
        <v>227</v>
      </c>
      <c r="D141" s="82" t="s">
        <v>228</v>
      </c>
      <c r="E141" s="82" t="s">
        <v>727</v>
      </c>
      <c r="F141" s="82" t="s">
        <v>11</v>
      </c>
      <c r="G141" s="266">
        <v>1051.7727</v>
      </c>
    </row>
    <row r="142" spans="1:8" s="129" customFormat="1" x14ac:dyDescent="0.25">
      <c r="A142" s="130" t="s">
        <v>261</v>
      </c>
      <c r="B142" s="130" t="s">
        <v>262</v>
      </c>
      <c r="C142" s="130" t="s">
        <v>27</v>
      </c>
      <c r="D142" s="130" t="s">
        <v>738</v>
      </c>
      <c r="E142" s="130" t="s">
        <v>15</v>
      </c>
      <c r="F142" s="130" t="s">
        <v>11</v>
      </c>
      <c r="G142" s="266">
        <v>69.797966000000002</v>
      </c>
      <c r="H142" s="131"/>
    </row>
    <row r="143" spans="1:8" s="81" customFormat="1" x14ac:dyDescent="0.25">
      <c r="A143" s="82" t="s">
        <v>263</v>
      </c>
      <c r="B143" s="82" t="s">
        <v>264</v>
      </c>
      <c r="C143" s="82" t="s">
        <v>30</v>
      </c>
      <c r="D143" s="82" t="s">
        <v>732</v>
      </c>
      <c r="E143" s="82" t="s">
        <v>15</v>
      </c>
      <c r="F143" s="82" t="s">
        <v>11</v>
      </c>
      <c r="G143" s="266">
        <v>63.236713000000002</v>
      </c>
    </row>
    <row r="144" spans="1:8" s="81" customFormat="1" x14ac:dyDescent="0.25">
      <c r="A144" s="82" t="s">
        <v>124</v>
      </c>
      <c r="B144" s="82" t="s">
        <v>125</v>
      </c>
      <c r="C144" s="82" t="s">
        <v>30</v>
      </c>
      <c r="D144" s="82" t="s">
        <v>732</v>
      </c>
      <c r="E144" s="82" t="s">
        <v>15</v>
      </c>
      <c r="F144" s="82" t="s">
        <v>11</v>
      </c>
      <c r="G144" s="266">
        <v>168.34637000000001</v>
      </c>
    </row>
    <row r="145" spans="1:8" s="81" customFormat="1" x14ac:dyDescent="0.25">
      <c r="A145" s="82" t="s">
        <v>265</v>
      </c>
      <c r="B145" s="82" t="s">
        <v>266</v>
      </c>
      <c r="C145" s="82" t="s">
        <v>63</v>
      </c>
      <c r="D145" s="82" t="s">
        <v>64</v>
      </c>
      <c r="E145" s="82" t="s">
        <v>727</v>
      </c>
      <c r="F145" s="82" t="s">
        <v>11</v>
      </c>
      <c r="G145" s="266">
        <v>17.532495000000001</v>
      </c>
    </row>
    <row r="146" spans="1:8" s="81" customFormat="1" x14ac:dyDescent="0.25">
      <c r="A146" s="82" t="s">
        <v>267</v>
      </c>
      <c r="B146" s="82" t="s">
        <v>268</v>
      </c>
      <c r="C146" s="82" t="s">
        <v>14</v>
      </c>
      <c r="D146" s="82" t="s">
        <v>740</v>
      </c>
      <c r="E146" s="82" t="s">
        <v>15</v>
      </c>
      <c r="F146" s="82" t="s">
        <v>11</v>
      </c>
      <c r="G146" s="266">
        <v>65.976320000000001</v>
      </c>
    </row>
    <row r="147" spans="1:8" s="81" customFormat="1" x14ac:dyDescent="0.25">
      <c r="A147" s="82" t="s">
        <v>269</v>
      </c>
      <c r="B147" s="82" t="s">
        <v>270</v>
      </c>
      <c r="C147" s="82" t="s">
        <v>9</v>
      </c>
      <c r="D147" s="82" t="s">
        <v>10</v>
      </c>
      <c r="E147" s="82" t="s">
        <v>15</v>
      </c>
      <c r="F147" s="82" t="s">
        <v>11</v>
      </c>
      <c r="G147" s="266">
        <v>0.90695219999999999</v>
      </c>
    </row>
    <row r="148" spans="1:8" s="149" customFormat="1" x14ac:dyDescent="0.25">
      <c r="A148" s="166" t="s">
        <v>271</v>
      </c>
      <c r="B148" s="166" t="s">
        <v>272</v>
      </c>
      <c r="C148" s="166" t="s">
        <v>63</v>
      </c>
      <c r="D148" s="166" t="s">
        <v>64</v>
      </c>
      <c r="E148" s="166" t="s">
        <v>15</v>
      </c>
      <c r="F148" s="166" t="s">
        <v>11</v>
      </c>
      <c r="G148" s="266">
        <v>5.2363350000000003E-2</v>
      </c>
    </row>
    <row r="149" spans="1:8" s="129" customFormat="1" x14ac:dyDescent="0.25">
      <c r="A149" s="130" t="s">
        <v>55</v>
      </c>
      <c r="B149" s="130" t="s">
        <v>56</v>
      </c>
      <c r="C149" s="130" t="s">
        <v>14</v>
      </c>
      <c r="D149" s="130" t="s">
        <v>740</v>
      </c>
      <c r="E149" s="130" t="s">
        <v>15</v>
      </c>
      <c r="F149" s="130" t="s">
        <v>11</v>
      </c>
      <c r="G149" s="266">
        <v>30.189509999999999</v>
      </c>
      <c r="H149" s="131"/>
    </row>
    <row r="150" spans="1:8" s="129" customFormat="1" x14ac:dyDescent="0.25">
      <c r="A150" s="130" t="s">
        <v>273</v>
      </c>
      <c r="B150" s="130" t="s">
        <v>274</v>
      </c>
      <c r="C150" s="130" t="s">
        <v>80</v>
      </c>
      <c r="D150" s="130" t="s">
        <v>733</v>
      </c>
      <c r="E150" s="130" t="s">
        <v>15</v>
      </c>
      <c r="F150" s="130" t="s">
        <v>11</v>
      </c>
      <c r="G150" s="266">
        <v>240.54543000000001</v>
      </c>
    </row>
    <row r="151" spans="1:8" s="81" customFormat="1" x14ac:dyDescent="0.25">
      <c r="A151" s="82" t="s">
        <v>275</v>
      </c>
      <c r="B151" s="82" t="s">
        <v>276</v>
      </c>
      <c r="C151" s="82" t="s">
        <v>63</v>
      </c>
      <c r="D151" s="82" t="s">
        <v>64</v>
      </c>
      <c r="E151" s="82" t="s">
        <v>728</v>
      </c>
      <c r="F151" s="82" t="s">
        <v>11</v>
      </c>
      <c r="G151" s="266">
        <v>39.577224999999999</v>
      </c>
    </row>
    <row r="152" spans="1:8" s="81" customFormat="1" x14ac:dyDescent="0.25">
      <c r="A152" s="82" t="s">
        <v>277</v>
      </c>
      <c r="B152" s="82" t="s">
        <v>278</v>
      </c>
      <c r="C152" s="82" t="s">
        <v>46</v>
      </c>
      <c r="D152" s="82" t="s">
        <v>739</v>
      </c>
      <c r="E152" s="82" t="s">
        <v>15</v>
      </c>
      <c r="F152" s="82" t="s">
        <v>11</v>
      </c>
      <c r="G152" s="266">
        <v>28.903199999999998</v>
      </c>
    </row>
    <row r="153" spans="1:8" s="81" customFormat="1" x14ac:dyDescent="0.25">
      <c r="A153" s="82" t="s">
        <v>279</v>
      </c>
      <c r="B153" s="82" t="s">
        <v>280</v>
      </c>
      <c r="C153" s="82" t="s">
        <v>18</v>
      </c>
      <c r="D153" s="82" t="s">
        <v>19</v>
      </c>
      <c r="E153" s="82" t="s">
        <v>727</v>
      </c>
      <c r="F153" s="82" t="s">
        <v>11</v>
      </c>
      <c r="G153" s="266">
        <v>131.04302999999999</v>
      </c>
    </row>
    <row r="154" spans="1:8" s="81" customFormat="1" x14ac:dyDescent="0.25">
      <c r="A154" s="82" t="s">
        <v>281</v>
      </c>
      <c r="B154" s="82" t="s">
        <v>282</v>
      </c>
      <c r="C154" s="82" t="s">
        <v>30</v>
      </c>
      <c r="D154" s="82" t="s">
        <v>732</v>
      </c>
      <c r="E154" s="82" t="s">
        <v>728</v>
      </c>
      <c r="F154" s="82" t="s">
        <v>11</v>
      </c>
      <c r="G154" s="266">
        <v>76.927480000000003</v>
      </c>
    </row>
    <row r="155" spans="1:8" s="81" customFormat="1" x14ac:dyDescent="0.25">
      <c r="A155" s="82" t="s">
        <v>221</v>
      </c>
      <c r="B155" s="82" t="s">
        <v>222</v>
      </c>
      <c r="C155" s="82" t="s">
        <v>80</v>
      </c>
      <c r="D155" s="82" t="s">
        <v>733</v>
      </c>
      <c r="E155" s="82" t="s">
        <v>727</v>
      </c>
      <c r="F155" s="82" t="s">
        <v>11</v>
      </c>
      <c r="G155" s="266">
        <v>164.33553000000001</v>
      </c>
    </row>
    <row r="156" spans="1:8" s="129" customFormat="1" x14ac:dyDescent="0.25">
      <c r="A156" s="130" t="s">
        <v>122</v>
      </c>
      <c r="B156" s="130" t="s">
        <v>123</v>
      </c>
      <c r="C156" s="130" t="s">
        <v>30</v>
      </c>
      <c r="D156" s="130" t="s">
        <v>732</v>
      </c>
      <c r="E156" s="130" t="s">
        <v>15</v>
      </c>
      <c r="F156" s="130" t="s">
        <v>11</v>
      </c>
      <c r="G156" s="266">
        <v>391.03070000000002</v>
      </c>
      <c r="H156" s="131"/>
    </row>
    <row r="157" spans="1:8" s="28" customFormat="1" x14ac:dyDescent="0.25">
      <c r="A157" s="86" t="s">
        <v>283</v>
      </c>
      <c r="B157" s="86" t="s">
        <v>284</v>
      </c>
      <c r="C157" s="86" t="s">
        <v>27</v>
      </c>
      <c r="D157" s="86" t="s">
        <v>738</v>
      </c>
      <c r="E157" s="86" t="s">
        <v>726</v>
      </c>
      <c r="F157" s="86" t="s">
        <v>35</v>
      </c>
      <c r="G157" s="266">
        <v>234.19522000000001</v>
      </c>
    </row>
    <row r="158" spans="1:8" s="81" customFormat="1" x14ac:dyDescent="0.25">
      <c r="A158" s="82" t="s">
        <v>285</v>
      </c>
      <c r="B158" s="82" t="s">
        <v>286</v>
      </c>
      <c r="C158" s="82" t="s">
        <v>14</v>
      </c>
      <c r="D158" s="82" t="s">
        <v>740</v>
      </c>
      <c r="E158" s="82" t="s">
        <v>727</v>
      </c>
      <c r="F158" s="82" t="s">
        <v>11</v>
      </c>
      <c r="G158" s="266">
        <v>48.512129999999999</v>
      </c>
    </row>
    <row r="159" spans="1:8" s="81" customFormat="1" x14ac:dyDescent="0.25">
      <c r="A159" s="82" t="s">
        <v>287</v>
      </c>
      <c r="B159" s="82" t="s">
        <v>288</v>
      </c>
      <c r="C159" s="82" t="s">
        <v>18</v>
      </c>
      <c r="D159" s="82" t="s">
        <v>19</v>
      </c>
      <c r="E159" s="82" t="s">
        <v>727</v>
      </c>
      <c r="F159" s="82" t="s">
        <v>11</v>
      </c>
      <c r="G159" s="266">
        <v>157.61662000000001</v>
      </c>
    </row>
    <row r="160" spans="1:8" s="81" customFormat="1" x14ac:dyDescent="0.25">
      <c r="A160" s="82" t="s">
        <v>289</v>
      </c>
      <c r="B160" s="82" t="s">
        <v>290</v>
      </c>
      <c r="C160" s="82" t="s">
        <v>63</v>
      </c>
      <c r="D160" s="82" t="s">
        <v>64</v>
      </c>
      <c r="E160" s="82" t="s">
        <v>727</v>
      </c>
      <c r="F160" s="82" t="s">
        <v>11</v>
      </c>
      <c r="G160" s="266">
        <v>21.275095</v>
      </c>
    </row>
    <row r="161" spans="1:9" s="81" customFormat="1" x14ac:dyDescent="0.25">
      <c r="A161" s="82" t="s">
        <v>233</v>
      </c>
      <c r="B161" s="82" t="s">
        <v>234</v>
      </c>
      <c r="C161" s="82" t="s">
        <v>80</v>
      </c>
      <c r="D161" s="82" t="s">
        <v>733</v>
      </c>
      <c r="E161" s="82" t="s">
        <v>727</v>
      </c>
      <c r="F161" s="82" t="s">
        <v>11</v>
      </c>
      <c r="G161" s="266">
        <v>0.53603345000000002</v>
      </c>
    </row>
    <row r="162" spans="1:9" s="81" customFormat="1" x14ac:dyDescent="0.25">
      <c r="A162" s="82" t="s">
        <v>221</v>
      </c>
      <c r="B162" s="82" t="s">
        <v>222</v>
      </c>
      <c r="C162" s="82" t="s">
        <v>80</v>
      </c>
      <c r="D162" s="82" t="s">
        <v>733</v>
      </c>
      <c r="E162" s="82" t="s">
        <v>15</v>
      </c>
      <c r="F162" s="82" t="s">
        <v>11</v>
      </c>
      <c r="G162" s="266">
        <v>65.828545000000005</v>
      </c>
    </row>
    <row r="163" spans="1:9" s="81" customFormat="1" x14ac:dyDescent="0.25">
      <c r="A163" s="82" t="s">
        <v>291</v>
      </c>
      <c r="B163" s="82" t="s">
        <v>292</v>
      </c>
      <c r="C163" s="82" t="s">
        <v>24</v>
      </c>
      <c r="D163" s="82" t="s">
        <v>735</v>
      </c>
      <c r="E163" s="82" t="s">
        <v>15</v>
      </c>
      <c r="F163" s="82" t="s">
        <v>11</v>
      </c>
      <c r="G163" s="266">
        <v>110.17948</v>
      </c>
    </row>
    <row r="164" spans="1:9" s="81" customFormat="1" x14ac:dyDescent="0.25">
      <c r="A164" s="82" t="s">
        <v>293</v>
      </c>
      <c r="B164" s="82" t="s">
        <v>294</v>
      </c>
      <c r="C164" s="82" t="s">
        <v>63</v>
      </c>
      <c r="D164" s="82" t="s">
        <v>64</v>
      </c>
      <c r="E164" s="82" t="s">
        <v>15</v>
      </c>
      <c r="F164" s="82" t="s">
        <v>11</v>
      </c>
      <c r="G164" s="266">
        <v>111.91914</v>
      </c>
    </row>
    <row r="165" spans="1:9" s="81" customFormat="1" x14ac:dyDescent="0.25">
      <c r="A165" s="82" t="s">
        <v>145</v>
      </c>
      <c r="B165" s="82" t="s">
        <v>146</v>
      </c>
      <c r="C165" s="82" t="s">
        <v>14</v>
      </c>
      <c r="D165" s="82" t="s">
        <v>740</v>
      </c>
      <c r="E165" s="82" t="s">
        <v>728</v>
      </c>
      <c r="F165" s="82" t="s">
        <v>11</v>
      </c>
      <c r="G165" s="266">
        <v>37.271202000000002</v>
      </c>
    </row>
    <row r="166" spans="1:9" s="81" customFormat="1" x14ac:dyDescent="0.25">
      <c r="A166" s="82" t="s">
        <v>16</v>
      </c>
      <c r="B166" s="82" t="s">
        <v>17</v>
      </c>
      <c r="C166" s="82" t="s">
        <v>18</v>
      </c>
      <c r="D166" s="82" t="s">
        <v>19</v>
      </c>
      <c r="E166" s="82" t="s">
        <v>728</v>
      </c>
      <c r="F166" s="82" t="s">
        <v>11</v>
      </c>
      <c r="G166" s="266">
        <v>73.914370000000005</v>
      </c>
    </row>
    <row r="167" spans="1:9" s="81" customFormat="1" x14ac:dyDescent="0.25">
      <c r="A167" s="82" t="s">
        <v>83</v>
      </c>
      <c r="B167" s="82" t="s">
        <v>84</v>
      </c>
      <c r="C167" s="82" t="s">
        <v>80</v>
      </c>
      <c r="D167" s="82" t="s">
        <v>733</v>
      </c>
      <c r="E167" s="82" t="s">
        <v>729</v>
      </c>
      <c r="F167" s="82" t="s">
        <v>11</v>
      </c>
      <c r="G167" s="266">
        <v>2.4918745000000002</v>
      </c>
    </row>
    <row r="168" spans="1:9" s="182" customFormat="1" x14ac:dyDescent="0.25">
      <c r="A168" s="183" t="s">
        <v>295</v>
      </c>
      <c r="B168" s="183" t="s">
        <v>296</v>
      </c>
      <c r="C168" s="183" t="s">
        <v>63</v>
      </c>
      <c r="D168" s="183" t="s">
        <v>64</v>
      </c>
      <c r="E168" s="183" t="s">
        <v>727</v>
      </c>
      <c r="F168" s="183" t="s">
        <v>77</v>
      </c>
      <c r="G168" s="266">
        <v>4.3844357E-2</v>
      </c>
    </row>
    <row r="169" spans="1:9" s="81" customFormat="1" x14ac:dyDescent="0.25">
      <c r="A169" s="82" t="s">
        <v>297</v>
      </c>
      <c r="B169" s="82" t="s">
        <v>298</v>
      </c>
      <c r="C169" s="82" t="s">
        <v>46</v>
      </c>
      <c r="D169" s="82" t="s">
        <v>739</v>
      </c>
      <c r="E169" s="82" t="s">
        <v>727</v>
      </c>
      <c r="F169" s="82" t="s">
        <v>11</v>
      </c>
      <c r="G169" s="266">
        <v>0.16055733</v>
      </c>
    </row>
    <row r="170" spans="1:9" s="81" customFormat="1" x14ac:dyDescent="0.25">
      <c r="A170" s="82" t="s">
        <v>299</v>
      </c>
      <c r="B170" s="82" t="s">
        <v>300</v>
      </c>
      <c r="C170" s="82" t="s">
        <v>80</v>
      </c>
      <c r="D170" s="82" t="s">
        <v>733</v>
      </c>
      <c r="E170" s="82" t="s">
        <v>727</v>
      </c>
      <c r="F170" s="82" t="s">
        <v>11</v>
      </c>
      <c r="G170" s="266">
        <v>0.83494639999999998</v>
      </c>
    </row>
    <row r="171" spans="1:9" s="81" customFormat="1" x14ac:dyDescent="0.25">
      <c r="A171" s="82" t="s">
        <v>114</v>
      </c>
      <c r="B171" s="82" t="s">
        <v>115</v>
      </c>
      <c r="C171" s="82" t="s">
        <v>46</v>
      </c>
      <c r="D171" s="82" t="s">
        <v>739</v>
      </c>
      <c r="E171" s="82" t="s">
        <v>15</v>
      </c>
      <c r="F171" s="82" t="s">
        <v>11</v>
      </c>
      <c r="G171" s="266">
        <v>75.370500000000007</v>
      </c>
    </row>
    <row r="172" spans="1:9" s="81" customFormat="1" x14ac:dyDescent="0.25">
      <c r="A172" s="82" t="s">
        <v>199</v>
      </c>
      <c r="B172" s="82" t="s">
        <v>200</v>
      </c>
      <c r="C172" s="82" t="s">
        <v>14</v>
      </c>
      <c r="D172" s="82" t="s">
        <v>740</v>
      </c>
      <c r="E172" s="82" t="s">
        <v>727</v>
      </c>
      <c r="F172" s="82" t="s">
        <v>11</v>
      </c>
      <c r="G172" s="266">
        <v>13.588198999999999</v>
      </c>
    </row>
    <row r="173" spans="1:9" s="81" customFormat="1" x14ac:dyDescent="0.25">
      <c r="A173" s="82" t="s">
        <v>93</v>
      </c>
      <c r="B173" s="82" t="s">
        <v>94</v>
      </c>
      <c r="C173" s="82" t="s">
        <v>30</v>
      </c>
      <c r="D173" s="82" t="s">
        <v>732</v>
      </c>
      <c r="E173" s="82" t="s">
        <v>727</v>
      </c>
      <c r="F173" s="82" t="s">
        <v>11</v>
      </c>
      <c r="G173" s="266">
        <v>16.298962</v>
      </c>
    </row>
    <row r="174" spans="1:9" s="81" customFormat="1" x14ac:dyDescent="0.25">
      <c r="A174" s="82" t="s">
        <v>301</v>
      </c>
      <c r="B174" s="82" t="s">
        <v>302</v>
      </c>
      <c r="C174" s="82" t="s">
        <v>14</v>
      </c>
      <c r="D174" s="82" t="s">
        <v>740</v>
      </c>
      <c r="E174" s="82" t="s">
        <v>15</v>
      </c>
      <c r="F174" s="82" t="s">
        <v>11</v>
      </c>
      <c r="G174" s="266">
        <v>110.154205</v>
      </c>
    </row>
    <row r="175" spans="1:9" s="81" customFormat="1" x14ac:dyDescent="0.25">
      <c r="A175" s="82" t="s">
        <v>303</v>
      </c>
      <c r="B175" s="82" t="s">
        <v>304</v>
      </c>
      <c r="C175" s="82" t="s">
        <v>30</v>
      </c>
      <c r="D175" s="82" t="s">
        <v>732</v>
      </c>
      <c r="E175" s="82" t="s">
        <v>728</v>
      </c>
      <c r="F175" s="82" t="s">
        <v>11</v>
      </c>
      <c r="G175" s="266">
        <v>64.511039999999994</v>
      </c>
    </row>
    <row r="176" spans="1:9" s="129" customFormat="1" x14ac:dyDescent="0.25">
      <c r="A176" s="130" t="s">
        <v>169</v>
      </c>
      <c r="B176" s="130" t="s">
        <v>170</v>
      </c>
      <c r="C176" s="130" t="s">
        <v>80</v>
      </c>
      <c r="D176" s="130" t="s">
        <v>733</v>
      </c>
      <c r="E176" s="130" t="s">
        <v>15</v>
      </c>
      <c r="F176" s="130" t="s">
        <v>11</v>
      </c>
      <c r="G176" s="266">
        <v>300.62849999999997</v>
      </c>
      <c r="I176" s="131"/>
    </row>
    <row r="177" spans="1:7" s="54" customFormat="1" x14ac:dyDescent="0.25">
      <c r="A177" s="53" t="s">
        <v>203</v>
      </c>
      <c r="B177" s="53" t="s">
        <v>204</v>
      </c>
      <c r="C177" s="53" t="s">
        <v>80</v>
      </c>
      <c r="D177" s="53" t="s">
        <v>733</v>
      </c>
      <c r="E177" s="53" t="s">
        <v>727</v>
      </c>
      <c r="F177" s="53" t="s">
        <v>11</v>
      </c>
      <c r="G177" s="266">
        <v>338.39210000000003</v>
      </c>
    </row>
    <row r="178" spans="1:7" s="81" customFormat="1" x14ac:dyDescent="0.25">
      <c r="A178" s="82" t="s">
        <v>175</v>
      </c>
      <c r="B178" s="82" t="s">
        <v>176</v>
      </c>
      <c r="C178" s="82" t="s">
        <v>80</v>
      </c>
      <c r="D178" s="82" t="s">
        <v>733</v>
      </c>
      <c r="E178" s="82" t="s">
        <v>15</v>
      </c>
      <c r="F178" s="82" t="s">
        <v>11</v>
      </c>
      <c r="G178" s="266">
        <v>103.113846</v>
      </c>
    </row>
    <row r="179" spans="1:7" s="81" customFormat="1" x14ac:dyDescent="0.25">
      <c r="A179" s="82" t="s">
        <v>305</v>
      </c>
      <c r="B179" s="82" t="s">
        <v>306</v>
      </c>
      <c r="C179" s="82" t="s">
        <v>80</v>
      </c>
      <c r="D179" s="82" t="s">
        <v>733</v>
      </c>
      <c r="E179" s="82" t="s">
        <v>729</v>
      </c>
      <c r="F179" s="82" t="s">
        <v>11</v>
      </c>
      <c r="G179" s="266">
        <v>8.1757960000000005E-2</v>
      </c>
    </row>
    <row r="180" spans="1:7" s="81" customFormat="1" x14ac:dyDescent="0.25">
      <c r="A180" s="82" t="s">
        <v>36</v>
      </c>
      <c r="B180" s="82" t="s">
        <v>37</v>
      </c>
      <c r="C180" s="82" t="s">
        <v>9</v>
      </c>
      <c r="D180" s="82" t="s">
        <v>10</v>
      </c>
      <c r="E180" s="82" t="s">
        <v>727</v>
      </c>
      <c r="F180" s="82" t="s">
        <v>11</v>
      </c>
      <c r="G180" s="266">
        <v>128.57932</v>
      </c>
    </row>
    <row r="181" spans="1:7" s="81" customFormat="1" x14ac:dyDescent="0.25">
      <c r="A181" s="82" t="s">
        <v>307</v>
      </c>
      <c r="B181" s="82" t="s">
        <v>308</v>
      </c>
      <c r="C181" s="82" t="s">
        <v>80</v>
      </c>
      <c r="D181" s="82" t="s">
        <v>733</v>
      </c>
      <c r="E181" s="82" t="s">
        <v>728</v>
      </c>
      <c r="F181" s="82" t="s">
        <v>11</v>
      </c>
      <c r="G181" s="266">
        <v>38.972819999999999</v>
      </c>
    </row>
    <row r="182" spans="1:7" s="81" customFormat="1" x14ac:dyDescent="0.25">
      <c r="A182" s="82" t="s">
        <v>201</v>
      </c>
      <c r="B182" s="82" t="s">
        <v>202</v>
      </c>
      <c r="C182" s="82" t="s">
        <v>80</v>
      </c>
      <c r="D182" s="82" t="s">
        <v>733</v>
      </c>
      <c r="E182" s="82" t="s">
        <v>728</v>
      </c>
      <c r="F182" s="82" t="s">
        <v>11</v>
      </c>
      <c r="G182" s="266">
        <v>25.711200000000002</v>
      </c>
    </row>
    <row r="183" spans="1:7" s="102" customFormat="1" x14ac:dyDescent="0.25">
      <c r="A183" s="103" t="s">
        <v>205</v>
      </c>
      <c r="B183" s="103" t="s">
        <v>206</v>
      </c>
      <c r="C183" s="103" t="s">
        <v>14</v>
      </c>
      <c r="D183" s="103" t="s">
        <v>740</v>
      </c>
      <c r="E183" s="103" t="s">
        <v>15</v>
      </c>
      <c r="F183" s="103" t="s">
        <v>741</v>
      </c>
      <c r="G183" s="266">
        <v>178.39490000000001</v>
      </c>
    </row>
    <row r="184" spans="1:7" s="81" customFormat="1" x14ac:dyDescent="0.25">
      <c r="A184" s="82" t="s">
        <v>118</v>
      </c>
      <c r="B184" s="82" t="s">
        <v>119</v>
      </c>
      <c r="C184" s="82" t="s">
        <v>24</v>
      </c>
      <c r="D184" s="82" t="s">
        <v>735</v>
      </c>
      <c r="E184" s="82" t="s">
        <v>15</v>
      </c>
      <c r="F184" s="82" t="s">
        <v>11</v>
      </c>
      <c r="G184" s="266">
        <v>163.59408999999999</v>
      </c>
    </row>
    <row r="185" spans="1:7" s="81" customFormat="1" x14ac:dyDescent="0.25">
      <c r="A185" s="82" t="s">
        <v>309</v>
      </c>
      <c r="B185" s="82" t="s">
        <v>310</v>
      </c>
      <c r="C185" s="82" t="s">
        <v>63</v>
      </c>
      <c r="D185" s="82" t="s">
        <v>64</v>
      </c>
      <c r="E185" s="82" t="s">
        <v>15</v>
      </c>
      <c r="F185" s="82" t="s">
        <v>11</v>
      </c>
      <c r="G185" s="266">
        <v>64.375060000000005</v>
      </c>
    </row>
    <row r="186" spans="1:7" s="28" customFormat="1" x14ac:dyDescent="0.25">
      <c r="A186" s="86" t="s">
        <v>311</v>
      </c>
      <c r="B186" s="86" t="s">
        <v>312</v>
      </c>
      <c r="C186" s="86" t="s">
        <v>140</v>
      </c>
      <c r="D186" s="86" t="s">
        <v>734</v>
      </c>
      <c r="E186" s="86" t="s">
        <v>726</v>
      </c>
      <c r="F186" s="86" t="s">
        <v>35</v>
      </c>
      <c r="G186" s="266">
        <v>50.299843000000003</v>
      </c>
    </row>
    <row r="187" spans="1:7" s="28" customFormat="1" x14ac:dyDescent="0.25">
      <c r="A187" s="86" t="s">
        <v>313</v>
      </c>
      <c r="B187" s="86" t="s">
        <v>314</v>
      </c>
      <c r="C187" s="86" t="s">
        <v>140</v>
      </c>
      <c r="D187" s="86" t="s">
        <v>734</v>
      </c>
      <c r="E187" s="86" t="s">
        <v>726</v>
      </c>
      <c r="F187" s="86" t="s">
        <v>35</v>
      </c>
      <c r="G187" s="266">
        <v>107.98269000000001</v>
      </c>
    </row>
    <row r="188" spans="1:7" s="81" customFormat="1" x14ac:dyDescent="0.25">
      <c r="A188" s="82" t="s">
        <v>315</v>
      </c>
      <c r="B188" s="82" t="s">
        <v>316</v>
      </c>
      <c r="C188" s="82" t="s">
        <v>63</v>
      </c>
      <c r="D188" s="82" t="s">
        <v>64</v>
      </c>
      <c r="E188" s="82" t="s">
        <v>15</v>
      </c>
      <c r="F188" s="82" t="s">
        <v>11</v>
      </c>
      <c r="G188" s="266">
        <v>11.699251</v>
      </c>
    </row>
    <row r="189" spans="1:7" s="81" customFormat="1" x14ac:dyDescent="0.25">
      <c r="A189" s="82" t="s">
        <v>317</v>
      </c>
      <c r="B189" s="82" t="s">
        <v>318</v>
      </c>
      <c r="C189" s="82" t="s">
        <v>24</v>
      </c>
      <c r="D189" s="82" t="s">
        <v>735</v>
      </c>
      <c r="E189" s="82" t="s">
        <v>728</v>
      </c>
      <c r="F189" s="82" t="s">
        <v>11</v>
      </c>
      <c r="G189" s="266">
        <v>12.368683000000001</v>
      </c>
    </row>
    <row r="190" spans="1:7" s="81" customFormat="1" x14ac:dyDescent="0.25">
      <c r="A190" s="82" t="s">
        <v>319</v>
      </c>
      <c r="B190" s="82" t="s">
        <v>320</v>
      </c>
      <c r="C190" s="82" t="s">
        <v>30</v>
      </c>
      <c r="D190" s="82" t="s">
        <v>732</v>
      </c>
      <c r="E190" s="82" t="s">
        <v>728</v>
      </c>
      <c r="F190" s="82" t="s">
        <v>11</v>
      </c>
      <c r="G190" s="266">
        <v>32.70579</v>
      </c>
    </row>
    <row r="191" spans="1:7" s="81" customFormat="1" x14ac:dyDescent="0.25">
      <c r="A191" s="82" t="s">
        <v>321</v>
      </c>
      <c r="B191" s="82" t="s">
        <v>322</v>
      </c>
      <c r="C191" s="82" t="s">
        <v>63</v>
      </c>
      <c r="D191" s="82" t="s">
        <v>64</v>
      </c>
      <c r="E191" s="82" t="s">
        <v>15</v>
      </c>
      <c r="F191" s="82" t="s">
        <v>11</v>
      </c>
      <c r="G191" s="266">
        <v>631.17145000000005</v>
      </c>
    </row>
    <row r="192" spans="1:7" s="81" customFormat="1" x14ac:dyDescent="0.25">
      <c r="A192" s="82" t="s">
        <v>291</v>
      </c>
      <c r="B192" s="82" t="s">
        <v>292</v>
      </c>
      <c r="C192" s="82" t="s">
        <v>24</v>
      </c>
      <c r="D192" s="82" t="s">
        <v>735</v>
      </c>
      <c r="E192" s="82" t="s">
        <v>727</v>
      </c>
      <c r="F192" s="82" t="s">
        <v>11</v>
      </c>
      <c r="G192" s="266">
        <v>11.032327</v>
      </c>
    </row>
    <row r="193" spans="1:7" s="81" customFormat="1" x14ac:dyDescent="0.25">
      <c r="A193" s="82" t="s">
        <v>217</v>
      </c>
      <c r="B193" s="82" t="s">
        <v>218</v>
      </c>
      <c r="C193" s="82" t="s">
        <v>30</v>
      </c>
      <c r="D193" s="82" t="s">
        <v>732</v>
      </c>
      <c r="E193" s="82" t="s">
        <v>728</v>
      </c>
      <c r="F193" s="82" t="s">
        <v>11</v>
      </c>
      <c r="G193" s="266">
        <v>40.810932000000001</v>
      </c>
    </row>
    <row r="194" spans="1:7" s="81" customFormat="1" x14ac:dyDescent="0.25">
      <c r="A194" s="82" t="s">
        <v>323</v>
      </c>
      <c r="B194" s="82" t="s">
        <v>324</v>
      </c>
      <c r="C194" s="82" t="s">
        <v>80</v>
      </c>
      <c r="D194" s="82" t="s">
        <v>733</v>
      </c>
      <c r="E194" s="82" t="s">
        <v>15</v>
      </c>
      <c r="F194" s="82" t="s">
        <v>11</v>
      </c>
      <c r="G194" s="266">
        <v>103.128654</v>
      </c>
    </row>
    <row r="195" spans="1:7" s="81" customFormat="1" x14ac:dyDescent="0.25">
      <c r="A195" s="82" t="s">
        <v>263</v>
      </c>
      <c r="B195" s="82" t="s">
        <v>264</v>
      </c>
      <c r="C195" s="82" t="s">
        <v>30</v>
      </c>
      <c r="D195" s="82" t="s">
        <v>732</v>
      </c>
      <c r="E195" s="82" t="s">
        <v>727</v>
      </c>
      <c r="F195" s="82" t="s">
        <v>11</v>
      </c>
      <c r="G195" s="266">
        <v>18.876774000000001</v>
      </c>
    </row>
    <row r="196" spans="1:7" s="81" customFormat="1" x14ac:dyDescent="0.25">
      <c r="A196" s="82" t="s">
        <v>325</v>
      </c>
      <c r="B196" s="82" t="s">
        <v>326</v>
      </c>
      <c r="C196" s="82" t="s">
        <v>80</v>
      </c>
      <c r="D196" s="82" t="s">
        <v>733</v>
      </c>
      <c r="E196" s="82" t="s">
        <v>728</v>
      </c>
      <c r="F196" s="82" t="s">
        <v>11</v>
      </c>
      <c r="G196" s="266">
        <v>76.475110000000001</v>
      </c>
    </row>
    <row r="197" spans="1:7" s="81" customFormat="1" x14ac:dyDescent="0.25">
      <c r="A197" s="82" t="s">
        <v>229</v>
      </c>
      <c r="B197" s="82" t="s">
        <v>230</v>
      </c>
      <c r="C197" s="82" t="s">
        <v>80</v>
      </c>
      <c r="D197" s="82" t="s">
        <v>733</v>
      </c>
      <c r="E197" s="82" t="s">
        <v>727</v>
      </c>
      <c r="F197" s="82" t="s">
        <v>11</v>
      </c>
      <c r="G197" s="266">
        <v>94.913794999999993</v>
      </c>
    </row>
    <row r="198" spans="1:7" s="81" customFormat="1" x14ac:dyDescent="0.25">
      <c r="A198" s="82" t="s">
        <v>327</v>
      </c>
      <c r="B198" s="82" t="s">
        <v>328</v>
      </c>
      <c r="C198" s="82" t="s">
        <v>63</v>
      </c>
      <c r="D198" s="82" t="s">
        <v>64</v>
      </c>
      <c r="E198" s="82" t="s">
        <v>15</v>
      </c>
      <c r="F198" s="82" t="s">
        <v>11</v>
      </c>
      <c r="G198" s="266">
        <v>260.89066000000003</v>
      </c>
    </row>
    <row r="199" spans="1:7" s="81" customFormat="1" x14ac:dyDescent="0.25">
      <c r="A199" s="82" t="s">
        <v>329</v>
      </c>
      <c r="B199" s="82" t="s">
        <v>330</v>
      </c>
      <c r="C199" s="82" t="s">
        <v>30</v>
      </c>
      <c r="D199" s="82" t="s">
        <v>732</v>
      </c>
      <c r="E199" s="82" t="s">
        <v>728</v>
      </c>
      <c r="F199" s="82" t="s">
        <v>11</v>
      </c>
      <c r="G199" s="266">
        <v>21.10108</v>
      </c>
    </row>
    <row r="200" spans="1:7" s="81" customFormat="1" x14ac:dyDescent="0.25">
      <c r="A200" s="82" t="s">
        <v>331</v>
      </c>
      <c r="B200" s="82" t="s">
        <v>332</v>
      </c>
      <c r="C200" s="82" t="s">
        <v>18</v>
      </c>
      <c r="D200" s="82" t="s">
        <v>19</v>
      </c>
      <c r="E200" s="82" t="s">
        <v>728</v>
      </c>
      <c r="F200" s="82" t="s">
        <v>11</v>
      </c>
      <c r="G200" s="266">
        <v>109.283844</v>
      </c>
    </row>
    <row r="201" spans="1:7" s="81" customFormat="1" x14ac:dyDescent="0.25">
      <c r="A201" s="82" t="s">
        <v>185</v>
      </c>
      <c r="B201" s="82" t="s">
        <v>186</v>
      </c>
      <c r="C201" s="82" t="s">
        <v>80</v>
      </c>
      <c r="D201" s="82" t="s">
        <v>733</v>
      </c>
      <c r="E201" s="82" t="s">
        <v>727</v>
      </c>
      <c r="F201" s="82" t="s">
        <v>11</v>
      </c>
      <c r="G201" s="266">
        <v>12.124313000000001</v>
      </c>
    </row>
    <row r="202" spans="1:7" s="81" customFormat="1" x14ac:dyDescent="0.25">
      <c r="A202" s="82" t="s">
        <v>333</v>
      </c>
      <c r="B202" s="82" t="s">
        <v>334</v>
      </c>
      <c r="C202" s="82" t="s">
        <v>75</v>
      </c>
      <c r="D202" s="82" t="s">
        <v>76</v>
      </c>
      <c r="E202" s="82" t="s">
        <v>15</v>
      </c>
      <c r="F202" s="82" t="s">
        <v>11</v>
      </c>
      <c r="G202" s="266">
        <v>855.67899999999997</v>
      </c>
    </row>
    <row r="203" spans="1:7" s="129" customFormat="1" x14ac:dyDescent="0.25">
      <c r="A203" s="130" t="s">
        <v>335</v>
      </c>
      <c r="B203" s="130" t="s">
        <v>336</v>
      </c>
      <c r="C203" s="130" t="s">
        <v>80</v>
      </c>
      <c r="D203" s="130" t="s">
        <v>733</v>
      </c>
      <c r="E203" s="130" t="s">
        <v>15</v>
      </c>
      <c r="F203" s="130" t="s">
        <v>11</v>
      </c>
      <c r="G203" s="266">
        <v>255.48737</v>
      </c>
    </row>
    <row r="204" spans="1:7" s="28" customFormat="1" x14ac:dyDescent="0.25">
      <c r="A204" s="86" t="s">
        <v>337</v>
      </c>
      <c r="B204" s="86" t="s">
        <v>338</v>
      </c>
      <c r="C204" s="86" t="s">
        <v>140</v>
      </c>
      <c r="D204" s="86" t="s">
        <v>734</v>
      </c>
      <c r="E204" s="86" t="s">
        <v>726</v>
      </c>
      <c r="F204" s="86" t="s">
        <v>35</v>
      </c>
      <c r="G204" s="266">
        <v>147.64856</v>
      </c>
    </row>
    <row r="205" spans="1:7" s="81" customFormat="1" x14ac:dyDescent="0.25">
      <c r="A205" s="82" t="s">
        <v>299</v>
      </c>
      <c r="B205" s="82" t="s">
        <v>300</v>
      </c>
      <c r="C205" s="82" t="s">
        <v>80</v>
      </c>
      <c r="D205" s="82" t="s">
        <v>733</v>
      </c>
      <c r="E205" s="82" t="s">
        <v>728</v>
      </c>
      <c r="F205" s="82" t="s">
        <v>11</v>
      </c>
      <c r="G205" s="266">
        <v>1.1444607</v>
      </c>
    </row>
    <row r="206" spans="1:7" s="81" customFormat="1" x14ac:dyDescent="0.25">
      <c r="A206" s="82" t="s">
        <v>339</v>
      </c>
      <c r="B206" s="82" t="s">
        <v>340</v>
      </c>
      <c r="C206" s="82" t="s">
        <v>24</v>
      </c>
      <c r="D206" s="82" t="s">
        <v>735</v>
      </c>
      <c r="E206" s="82" t="s">
        <v>728</v>
      </c>
      <c r="F206" s="82" t="s">
        <v>11</v>
      </c>
      <c r="G206" s="266">
        <v>1.8462171999999999</v>
      </c>
    </row>
    <row r="207" spans="1:7" s="81" customFormat="1" x14ac:dyDescent="0.25">
      <c r="A207" s="82" t="s">
        <v>341</v>
      </c>
      <c r="B207" s="82" t="s">
        <v>342</v>
      </c>
      <c r="C207" s="82" t="s">
        <v>9</v>
      </c>
      <c r="D207" s="82" t="s">
        <v>10</v>
      </c>
      <c r="E207" s="82" t="s">
        <v>728</v>
      </c>
      <c r="F207" s="82" t="s">
        <v>11</v>
      </c>
      <c r="G207" s="266">
        <v>71.906419999999997</v>
      </c>
    </row>
    <row r="208" spans="1:7" s="81" customFormat="1" x14ac:dyDescent="0.25">
      <c r="A208" s="82" t="s">
        <v>343</v>
      </c>
      <c r="B208" s="82" t="s">
        <v>344</v>
      </c>
      <c r="C208" s="82" t="s">
        <v>227</v>
      </c>
      <c r="D208" s="82" t="s">
        <v>228</v>
      </c>
      <c r="E208" s="82" t="s">
        <v>727</v>
      </c>
      <c r="F208" s="82" t="s">
        <v>11</v>
      </c>
      <c r="G208" s="266">
        <v>250.43503999999999</v>
      </c>
    </row>
    <row r="209" spans="1:8" s="81" customFormat="1" x14ac:dyDescent="0.25">
      <c r="A209" s="82" t="s">
        <v>345</v>
      </c>
      <c r="B209" s="82" t="s">
        <v>346</v>
      </c>
      <c r="C209" s="82" t="s">
        <v>30</v>
      </c>
      <c r="D209" s="82" t="s">
        <v>732</v>
      </c>
      <c r="E209" s="82" t="s">
        <v>727</v>
      </c>
      <c r="F209" s="82" t="s">
        <v>11</v>
      </c>
      <c r="G209" s="266">
        <v>3.4745325999999999</v>
      </c>
    </row>
    <row r="210" spans="1:8" s="81" customFormat="1" x14ac:dyDescent="0.25">
      <c r="A210" s="82" t="s">
        <v>81</v>
      </c>
      <c r="B210" s="82" t="s">
        <v>82</v>
      </c>
      <c r="C210" s="82" t="s">
        <v>14</v>
      </c>
      <c r="D210" s="82" t="s">
        <v>740</v>
      </c>
      <c r="E210" s="82" t="s">
        <v>727</v>
      </c>
      <c r="F210" s="82" t="s">
        <v>11</v>
      </c>
      <c r="G210" s="266">
        <v>17.516242999999999</v>
      </c>
    </row>
    <row r="211" spans="1:8" s="81" customFormat="1" x14ac:dyDescent="0.25">
      <c r="A211" s="82" t="s">
        <v>347</v>
      </c>
      <c r="B211" s="82" t="s">
        <v>348</v>
      </c>
      <c r="C211" s="82" t="s">
        <v>18</v>
      </c>
      <c r="D211" s="82" t="s">
        <v>19</v>
      </c>
      <c r="E211" s="82" t="s">
        <v>728</v>
      </c>
      <c r="F211" s="82" t="s">
        <v>11</v>
      </c>
      <c r="G211" s="266">
        <v>17.835756</v>
      </c>
    </row>
    <row r="212" spans="1:8" s="129" customFormat="1" x14ac:dyDescent="0.25">
      <c r="A212" s="130" t="s">
        <v>349</v>
      </c>
      <c r="B212" s="130" t="s">
        <v>350</v>
      </c>
      <c r="C212" s="130" t="s">
        <v>30</v>
      </c>
      <c r="D212" s="130" t="s">
        <v>732</v>
      </c>
      <c r="E212" s="130" t="s">
        <v>15</v>
      </c>
      <c r="F212" s="130" t="s">
        <v>11</v>
      </c>
      <c r="G212" s="266">
        <v>23.079018000000001</v>
      </c>
      <c r="H212" s="131"/>
    </row>
    <row r="213" spans="1:8" s="102" customFormat="1" x14ac:dyDescent="0.25">
      <c r="A213" s="103" t="s">
        <v>351</v>
      </c>
      <c r="B213" s="103" t="s">
        <v>352</v>
      </c>
      <c r="C213" s="103" t="s">
        <v>14</v>
      </c>
      <c r="D213" s="103" t="s">
        <v>740</v>
      </c>
      <c r="E213" s="103" t="s">
        <v>727</v>
      </c>
      <c r="F213" s="103" t="s">
        <v>741</v>
      </c>
      <c r="G213" s="266">
        <v>275.89505000000003</v>
      </c>
    </row>
    <row r="214" spans="1:8" s="81" customFormat="1" x14ac:dyDescent="0.25">
      <c r="A214" s="82" t="s">
        <v>353</v>
      </c>
      <c r="B214" s="82" t="s">
        <v>354</v>
      </c>
      <c r="C214" s="82" t="s">
        <v>30</v>
      </c>
      <c r="D214" s="82" t="s">
        <v>732</v>
      </c>
      <c r="E214" s="82" t="s">
        <v>727</v>
      </c>
      <c r="F214" s="82" t="s">
        <v>11</v>
      </c>
      <c r="G214" s="266">
        <v>2.6671393000000001</v>
      </c>
    </row>
    <row r="215" spans="1:8" s="81" customFormat="1" x14ac:dyDescent="0.25">
      <c r="A215" s="82" t="s">
        <v>275</v>
      </c>
      <c r="B215" s="82" t="s">
        <v>276</v>
      </c>
      <c r="C215" s="82" t="s">
        <v>63</v>
      </c>
      <c r="D215" s="82" t="s">
        <v>64</v>
      </c>
      <c r="E215" s="82" t="s">
        <v>727</v>
      </c>
      <c r="F215" s="82" t="s">
        <v>11</v>
      </c>
      <c r="G215" s="266">
        <v>8.0829609999999992</v>
      </c>
    </row>
    <row r="216" spans="1:8" s="81" customFormat="1" x14ac:dyDescent="0.25">
      <c r="A216" s="82" t="s">
        <v>355</v>
      </c>
      <c r="B216" s="82" t="s">
        <v>356</v>
      </c>
      <c r="C216" s="82" t="s">
        <v>30</v>
      </c>
      <c r="D216" s="82" t="s">
        <v>732</v>
      </c>
      <c r="E216" s="82" t="s">
        <v>15</v>
      </c>
      <c r="F216" s="82" t="s">
        <v>11</v>
      </c>
      <c r="G216" s="266">
        <v>37.509506000000002</v>
      </c>
    </row>
    <row r="217" spans="1:8" s="129" customFormat="1" x14ac:dyDescent="0.25">
      <c r="A217" s="130" t="s">
        <v>357</v>
      </c>
      <c r="B217" s="130" t="s">
        <v>358</v>
      </c>
      <c r="C217" s="130" t="s">
        <v>14</v>
      </c>
      <c r="D217" s="130" t="s">
        <v>740</v>
      </c>
      <c r="E217" s="130" t="s">
        <v>15</v>
      </c>
      <c r="F217" s="130" t="s">
        <v>11</v>
      </c>
      <c r="G217" s="266">
        <v>460.39742999999999</v>
      </c>
    </row>
    <row r="218" spans="1:8" s="129" customFormat="1" x14ac:dyDescent="0.25">
      <c r="A218" s="130" t="s">
        <v>359</v>
      </c>
      <c r="B218" s="130" t="s">
        <v>360</v>
      </c>
      <c r="C218" s="130" t="s">
        <v>30</v>
      </c>
      <c r="D218" s="130" t="s">
        <v>732</v>
      </c>
      <c r="E218" s="130" t="s">
        <v>727</v>
      </c>
      <c r="F218" s="130" t="s">
        <v>11</v>
      </c>
      <c r="G218" s="266">
        <v>0.38112069999999998</v>
      </c>
    </row>
    <row r="219" spans="1:8" s="81" customFormat="1" x14ac:dyDescent="0.25">
      <c r="A219" s="82" t="s">
        <v>287</v>
      </c>
      <c r="B219" s="82" t="s">
        <v>288</v>
      </c>
      <c r="C219" s="82" t="s">
        <v>18</v>
      </c>
      <c r="D219" s="82" t="s">
        <v>19</v>
      </c>
      <c r="E219" s="82" t="s">
        <v>728</v>
      </c>
      <c r="F219" s="82" t="s">
        <v>11</v>
      </c>
      <c r="G219" s="266">
        <v>134.22112000000001</v>
      </c>
    </row>
    <row r="220" spans="1:8" s="81" customFormat="1" x14ac:dyDescent="0.25">
      <c r="A220" s="82" t="s">
        <v>361</v>
      </c>
      <c r="B220" s="82" t="s">
        <v>362</v>
      </c>
      <c r="C220" s="82" t="s">
        <v>33</v>
      </c>
      <c r="D220" s="82" t="s">
        <v>34</v>
      </c>
      <c r="E220" s="82" t="s">
        <v>728</v>
      </c>
      <c r="F220" s="82" t="s">
        <v>11</v>
      </c>
      <c r="G220" s="266">
        <v>96.768410000000003</v>
      </c>
    </row>
    <row r="221" spans="1:8" s="81" customFormat="1" x14ac:dyDescent="0.25">
      <c r="A221" s="82" t="s">
        <v>363</v>
      </c>
      <c r="B221" s="82" t="s">
        <v>364</v>
      </c>
      <c r="C221" s="82" t="s">
        <v>18</v>
      </c>
      <c r="D221" s="82" t="s">
        <v>19</v>
      </c>
      <c r="E221" s="82" t="s">
        <v>15</v>
      </c>
      <c r="F221" s="82" t="s">
        <v>11</v>
      </c>
      <c r="G221" s="266">
        <v>36.386077999999998</v>
      </c>
    </row>
    <row r="222" spans="1:8" s="28" customFormat="1" x14ac:dyDescent="0.25">
      <c r="A222" s="86" t="s">
        <v>365</v>
      </c>
      <c r="B222" s="86" t="s">
        <v>366</v>
      </c>
      <c r="C222" s="86" t="s">
        <v>140</v>
      </c>
      <c r="D222" s="86" t="s">
        <v>734</v>
      </c>
      <c r="E222" s="86" t="s">
        <v>726</v>
      </c>
      <c r="F222" s="86" t="s">
        <v>35</v>
      </c>
      <c r="G222" s="266">
        <v>31.901363</v>
      </c>
    </row>
    <row r="223" spans="1:8" s="28" customFormat="1" x14ac:dyDescent="0.25">
      <c r="A223" s="86" t="s">
        <v>367</v>
      </c>
      <c r="B223" s="86" t="s">
        <v>368</v>
      </c>
      <c r="C223" s="86" t="s">
        <v>140</v>
      </c>
      <c r="D223" s="86" t="s">
        <v>734</v>
      </c>
      <c r="E223" s="86" t="s">
        <v>726</v>
      </c>
      <c r="F223" s="86" t="s">
        <v>35</v>
      </c>
      <c r="G223" s="266">
        <v>72.548140000000004</v>
      </c>
    </row>
    <row r="224" spans="1:8" s="81" customFormat="1" x14ac:dyDescent="0.25">
      <c r="A224" s="82" t="s">
        <v>199</v>
      </c>
      <c r="B224" s="82" t="s">
        <v>200</v>
      </c>
      <c r="C224" s="82" t="s">
        <v>14</v>
      </c>
      <c r="D224" s="82" t="s">
        <v>740</v>
      </c>
      <c r="E224" s="82" t="s">
        <v>15</v>
      </c>
      <c r="F224" s="82" t="s">
        <v>11</v>
      </c>
      <c r="G224" s="266">
        <v>31.199074</v>
      </c>
    </row>
    <row r="225" spans="1:8" s="102" customFormat="1" x14ac:dyDescent="0.25">
      <c r="A225" s="103" t="s">
        <v>369</v>
      </c>
      <c r="B225" s="103" t="s">
        <v>370</v>
      </c>
      <c r="C225" s="103" t="s">
        <v>14</v>
      </c>
      <c r="D225" s="103" t="s">
        <v>740</v>
      </c>
      <c r="E225" s="103" t="s">
        <v>729</v>
      </c>
      <c r="F225" s="103" t="s">
        <v>741</v>
      </c>
      <c r="G225" s="266">
        <v>7.8998379999999999</v>
      </c>
    </row>
    <row r="226" spans="1:8" s="81" customFormat="1" x14ac:dyDescent="0.25">
      <c r="A226" s="82" t="s">
        <v>371</v>
      </c>
      <c r="B226" s="82" t="s">
        <v>372</v>
      </c>
      <c r="C226" s="82" t="s">
        <v>30</v>
      </c>
      <c r="D226" s="82" t="s">
        <v>732</v>
      </c>
      <c r="E226" s="82" t="s">
        <v>15</v>
      </c>
      <c r="F226" s="82" t="s">
        <v>11</v>
      </c>
      <c r="G226" s="266">
        <v>48.532960000000003</v>
      </c>
    </row>
    <row r="227" spans="1:8" s="81" customFormat="1" x14ac:dyDescent="0.25">
      <c r="A227" s="82" t="s">
        <v>57</v>
      </c>
      <c r="B227" s="82" t="s">
        <v>58</v>
      </c>
      <c r="C227" s="82" t="s">
        <v>46</v>
      </c>
      <c r="D227" s="82" t="s">
        <v>739</v>
      </c>
      <c r="E227" s="82" t="s">
        <v>15</v>
      </c>
      <c r="F227" s="82" t="s">
        <v>11</v>
      </c>
      <c r="G227" s="266">
        <v>15.761554</v>
      </c>
    </row>
    <row r="228" spans="1:8" s="81" customFormat="1" x14ac:dyDescent="0.25">
      <c r="A228" s="82" t="s">
        <v>373</v>
      </c>
      <c r="B228" s="82" t="s">
        <v>374</v>
      </c>
      <c r="C228" s="82" t="s">
        <v>14</v>
      </c>
      <c r="D228" s="82" t="s">
        <v>740</v>
      </c>
      <c r="E228" s="82" t="s">
        <v>727</v>
      </c>
      <c r="F228" s="82" t="s">
        <v>11</v>
      </c>
      <c r="G228" s="266">
        <v>10.593299999999999</v>
      </c>
    </row>
    <row r="229" spans="1:8" s="81" customFormat="1" x14ac:dyDescent="0.25">
      <c r="A229" s="82" t="s">
        <v>47</v>
      </c>
      <c r="B229" s="82" t="s">
        <v>48</v>
      </c>
      <c r="C229" s="82" t="s">
        <v>30</v>
      </c>
      <c r="D229" s="82" t="s">
        <v>732</v>
      </c>
      <c r="E229" s="82" t="s">
        <v>728</v>
      </c>
      <c r="F229" s="82" t="s">
        <v>11</v>
      </c>
      <c r="G229" s="266">
        <v>40.790230000000001</v>
      </c>
    </row>
    <row r="230" spans="1:8" s="81" customFormat="1" x14ac:dyDescent="0.25">
      <c r="A230" s="82" t="s">
        <v>375</v>
      </c>
      <c r="B230" s="82" t="s">
        <v>376</v>
      </c>
      <c r="C230" s="82" t="s">
        <v>18</v>
      </c>
      <c r="D230" s="82" t="s">
        <v>19</v>
      </c>
      <c r="E230" s="82" t="s">
        <v>728</v>
      </c>
      <c r="F230" s="82" t="s">
        <v>11</v>
      </c>
      <c r="G230" s="266">
        <v>39.02552</v>
      </c>
    </row>
    <row r="231" spans="1:8" s="81" customFormat="1" x14ac:dyDescent="0.25">
      <c r="A231" s="82" t="s">
        <v>329</v>
      </c>
      <c r="B231" s="82" t="s">
        <v>330</v>
      </c>
      <c r="C231" s="82" t="s">
        <v>30</v>
      </c>
      <c r="D231" s="82" t="s">
        <v>732</v>
      </c>
      <c r="E231" s="82" t="s">
        <v>15</v>
      </c>
      <c r="F231" s="82" t="s">
        <v>11</v>
      </c>
      <c r="G231" s="266">
        <v>48.78087</v>
      </c>
    </row>
    <row r="232" spans="1:8" s="102" customFormat="1" x14ac:dyDescent="0.25">
      <c r="A232" s="103" t="s">
        <v>149</v>
      </c>
      <c r="B232" s="103" t="s">
        <v>150</v>
      </c>
      <c r="C232" s="103" t="s">
        <v>14</v>
      </c>
      <c r="D232" s="103" t="s">
        <v>740</v>
      </c>
      <c r="E232" s="103" t="s">
        <v>729</v>
      </c>
      <c r="F232" s="103" t="s">
        <v>741</v>
      </c>
      <c r="G232" s="266">
        <v>6.4995665999999996</v>
      </c>
    </row>
    <row r="233" spans="1:8" s="129" customFormat="1" x14ac:dyDescent="0.25">
      <c r="A233" s="130" t="s">
        <v>136</v>
      </c>
      <c r="B233" s="130" t="s">
        <v>137</v>
      </c>
      <c r="C233" s="313">
        <v>200034411</v>
      </c>
      <c r="D233" s="130" t="s">
        <v>738</v>
      </c>
      <c r="E233" s="130" t="s">
        <v>15</v>
      </c>
      <c r="F233" s="130" t="s">
        <v>11</v>
      </c>
      <c r="G233" s="266">
        <v>33.245094000000002</v>
      </c>
      <c r="H233" s="131"/>
    </row>
    <row r="234" spans="1:8" s="81" customFormat="1" x14ac:dyDescent="0.25">
      <c r="A234" s="82" t="s">
        <v>217</v>
      </c>
      <c r="B234" s="82" t="s">
        <v>218</v>
      </c>
      <c r="C234" s="82" t="s">
        <v>30</v>
      </c>
      <c r="D234" s="82" t="s">
        <v>732</v>
      </c>
      <c r="E234" s="82" t="s">
        <v>15</v>
      </c>
      <c r="F234" s="82" t="s">
        <v>11</v>
      </c>
      <c r="G234" s="266">
        <v>31.679079999999999</v>
      </c>
    </row>
    <row r="235" spans="1:8" s="81" customFormat="1" x14ac:dyDescent="0.25">
      <c r="A235" s="82" t="s">
        <v>377</v>
      </c>
      <c r="B235" s="82" t="s">
        <v>378</v>
      </c>
      <c r="C235" s="82" t="s">
        <v>24</v>
      </c>
      <c r="D235" s="82" t="s">
        <v>735</v>
      </c>
      <c r="E235" s="82" t="s">
        <v>15</v>
      </c>
      <c r="F235" s="82" t="s">
        <v>11</v>
      </c>
      <c r="G235" s="266">
        <v>39.959045000000003</v>
      </c>
    </row>
    <row r="236" spans="1:8" s="81" customFormat="1" x14ac:dyDescent="0.25">
      <c r="A236" s="82" t="s">
        <v>325</v>
      </c>
      <c r="B236" s="82" t="s">
        <v>326</v>
      </c>
      <c r="C236" s="82" t="s">
        <v>80</v>
      </c>
      <c r="D236" s="82" t="s">
        <v>733</v>
      </c>
      <c r="E236" s="82" t="s">
        <v>15</v>
      </c>
      <c r="F236" s="82" t="s">
        <v>11</v>
      </c>
      <c r="G236" s="266">
        <v>324.85692999999998</v>
      </c>
    </row>
    <row r="237" spans="1:8" s="81" customFormat="1" x14ac:dyDescent="0.25">
      <c r="A237" s="82" t="s">
        <v>57</v>
      </c>
      <c r="B237" s="82" t="s">
        <v>58</v>
      </c>
      <c r="C237" s="82" t="s">
        <v>46</v>
      </c>
      <c r="D237" s="82" t="s">
        <v>739</v>
      </c>
      <c r="E237" s="82" t="s">
        <v>727</v>
      </c>
      <c r="F237" s="82" t="s">
        <v>11</v>
      </c>
      <c r="G237" s="266">
        <v>99.828519999999997</v>
      </c>
    </row>
    <row r="238" spans="1:8" s="81" customFormat="1" x14ac:dyDescent="0.25">
      <c r="A238" s="82" t="s">
        <v>375</v>
      </c>
      <c r="B238" s="82" t="s">
        <v>376</v>
      </c>
      <c r="C238" s="82" t="s">
        <v>18</v>
      </c>
      <c r="D238" s="82" t="s">
        <v>19</v>
      </c>
      <c r="E238" s="82" t="s">
        <v>15</v>
      </c>
      <c r="F238" s="82" t="s">
        <v>11</v>
      </c>
      <c r="G238" s="266">
        <v>397.22564999999997</v>
      </c>
    </row>
    <row r="239" spans="1:8" s="81" customFormat="1" x14ac:dyDescent="0.25">
      <c r="A239" s="82" t="s">
        <v>69</v>
      </c>
      <c r="B239" s="82" t="s">
        <v>70</v>
      </c>
      <c r="C239" s="82" t="s">
        <v>14</v>
      </c>
      <c r="D239" s="82" t="s">
        <v>740</v>
      </c>
      <c r="E239" s="82" t="s">
        <v>15</v>
      </c>
      <c r="F239" s="82" t="s">
        <v>11</v>
      </c>
      <c r="G239" s="266">
        <v>61.629379999999998</v>
      </c>
    </row>
    <row r="240" spans="1:8" s="81" customFormat="1" x14ac:dyDescent="0.25">
      <c r="A240" s="82" t="s">
        <v>379</v>
      </c>
      <c r="B240" s="82" t="s">
        <v>380</v>
      </c>
      <c r="C240" s="82" t="s">
        <v>30</v>
      </c>
      <c r="D240" s="82" t="s">
        <v>732</v>
      </c>
      <c r="E240" s="82" t="s">
        <v>15</v>
      </c>
      <c r="F240" s="82" t="s">
        <v>11</v>
      </c>
      <c r="G240" s="266">
        <v>21.45093</v>
      </c>
    </row>
    <row r="241" spans="1:7" s="81" customFormat="1" x14ac:dyDescent="0.25">
      <c r="A241" s="82" t="s">
        <v>381</v>
      </c>
      <c r="B241" s="82" t="s">
        <v>382</v>
      </c>
      <c r="C241" s="82" t="s">
        <v>27</v>
      </c>
      <c r="D241" s="82" t="s">
        <v>738</v>
      </c>
      <c r="E241" s="82" t="s">
        <v>727</v>
      </c>
      <c r="F241" s="82" t="s">
        <v>11</v>
      </c>
      <c r="G241" s="266">
        <v>3.8933896000000003E-2</v>
      </c>
    </row>
    <row r="242" spans="1:7" s="81" customFormat="1" x14ac:dyDescent="0.25">
      <c r="A242" s="82" t="s">
        <v>383</v>
      </c>
      <c r="B242" s="82" t="s">
        <v>384</v>
      </c>
      <c r="C242" s="82" t="s">
        <v>189</v>
      </c>
      <c r="D242" s="82" t="s">
        <v>190</v>
      </c>
      <c r="E242" s="82" t="s">
        <v>727</v>
      </c>
      <c r="F242" s="82" t="s">
        <v>11</v>
      </c>
      <c r="G242" s="266">
        <v>55.90889</v>
      </c>
    </row>
    <row r="243" spans="1:7" s="81" customFormat="1" x14ac:dyDescent="0.25">
      <c r="A243" s="82" t="s">
        <v>385</v>
      </c>
      <c r="B243" s="82" t="s">
        <v>386</v>
      </c>
      <c r="C243" s="82" t="s">
        <v>30</v>
      </c>
      <c r="D243" s="82" t="s">
        <v>732</v>
      </c>
      <c r="E243" s="82" t="s">
        <v>728</v>
      </c>
      <c r="F243" s="82" t="s">
        <v>11</v>
      </c>
      <c r="G243" s="266">
        <v>24.59432</v>
      </c>
    </row>
    <row r="244" spans="1:7" s="81" customFormat="1" x14ac:dyDescent="0.25">
      <c r="A244" s="82" t="s">
        <v>387</v>
      </c>
      <c r="B244" s="82" t="s">
        <v>388</v>
      </c>
      <c r="C244" s="82" t="s">
        <v>30</v>
      </c>
      <c r="D244" s="82" t="s">
        <v>732</v>
      </c>
      <c r="E244" s="82" t="s">
        <v>727</v>
      </c>
      <c r="F244" s="82" t="s">
        <v>11</v>
      </c>
      <c r="G244" s="266">
        <v>35.868378</v>
      </c>
    </row>
    <row r="245" spans="1:7" s="81" customFormat="1" x14ac:dyDescent="0.25">
      <c r="A245" s="82" t="s">
        <v>389</v>
      </c>
      <c r="B245" s="82" t="s">
        <v>390</v>
      </c>
      <c r="C245" s="82" t="s">
        <v>14</v>
      </c>
      <c r="D245" s="82" t="s">
        <v>740</v>
      </c>
      <c r="E245" s="82" t="s">
        <v>728</v>
      </c>
      <c r="F245" s="82" t="s">
        <v>11</v>
      </c>
      <c r="G245" s="266">
        <v>154.81666999999999</v>
      </c>
    </row>
    <row r="246" spans="1:7" s="81" customFormat="1" x14ac:dyDescent="0.25">
      <c r="A246" s="82" t="s">
        <v>167</v>
      </c>
      <c r="B246" s="82" t="s">
        <v>168</v>
      </c>
      <c r="C246" s="82" t="s">
        <v>33</v>
      </c>
      <c r="D246" s="82" t="s">
        <v>34</v>
      </c>
      <c r="E246" s="82" t="s">
        <v>15</v>
      </c>
      <c r="F246" s="82" t="s">
        <v>11</v>
      </c>
      <c r="G246" s="266">
        <v>251.14368999999999</v>
      </c>
    </row>
    <row r="247" spans="1:7" s="81" customFormat="1" x14ac:dyDescent="0.25">
      <c r="A247" s="82" t="s">
        <v>355</v>
      </c>
      <c r="B247" s="82" t="s">
        <v>356</v>
      </c>
      <c r="C247" s="82" t="s">
        <v>30</v>
      </c>
      <c r="D247" s="82" t="s">
        <v>732</v>
      </c>
      <c r="E247" s="82" t="s">
        <v>728</v>
      </c>
      <c r="F247" s="82" t="s">
        <v>11</v>
      </c>
      <c r="G247" s="266">
        <v>131.52402000000001</v>
      </c>
    </row>
    <row r="248" spans="1:7" s="102" customFormat="1" x14ac:dyDescent="0.25">
      <c r="A248" s="103" t="s">
        <v>391</v>
      </c>
      <c r="B248" s="103" t="s">
        <v>392</v>
      </c>
      <c r="C248" s="103" t="s">
        <v>14</v>
      </c>
      <c r="D248" s="103" t="s">
        <v>740</v>
      </c>
      <c r="E248" s="103" t="s">
        <v>729</v>
      </c>
      <c r="F248" s="103" t="s">
        <v>741</v>
      </c>
      <c r="G248" s="266">
        <v>50.356414999999998</v>
      </c>
    </row>
    <row r="249" spans="1:7" s="81" customFormat="1" x14ac:dyDescent="0.25">
      <c r="A249" s="82" t="s">
        <v>393</v>
      </c>
      <c r="B249" s="82" t="s">
        <v>394</v>
      </c>
      <c r="C249" s="82" t="s">
        <v>18</v>
      </c>
      <c r="D249" s="82" t="s">
        <v>19</v>
      </c>
      <c r="E249" s="82" t="s">
        <v>15</v>
      </c>
      <c r="F249" s="82" t="s">
        <v>11</v>
      </c>
      <c r="G249" s="266">
        <v>129.00606999999999</v>
      </c>
    </row>
    <row r="250" spans="1:7" s="28" customFormat="1" x14ac:dyDescent="0.25">
      <c r="A250" s="86" t="s">
        <v>395</v>
      </c>
      <c r="B250" s="86" t="s">
        <v>396</v>
      </c>
      <c r="C250" s="86" t="s">
        <v>157</v>
      </c>
      <c r="D250" s="86" t="s">
        <v>158</v>
      </c>
      <c r="E250" s="86" t="s">
        <v>726</v>
      </c>
      <c r="F250" s="86" t="s">
        <v>35</v>
      </c>
      <c r="G250" s="266">
        <v>48.997070000000001</v>
      </c>
    </row>
    <row r="251" spans="1:7" s="28" customFormat="1" x14ac:dyDescent="0.25">
      <c r="A251" s="86" t="s">
        <v>397</v>
      </c>
      <c r="B251" s="86" t="s">
        <v>398</v>
      </c>
      <c r="C251" s="86" t="s">
        <v>157</v>
      </c>
      <c r="D251" s="86" t="s">
        <v>158</v>
      </c>
      <c r="E251" s="86" t="s">
        <v>726</v>
      </c>
      <c r="F251" s="86" t="s">
        <v>35</v>
      </c>
      <c r="G251" s="266">
        <v>40.196120000000001</v>
      </c>
    </row>
    <row r="252" spans="1:7" s="81" customFormat="1" x14ac:dyDescent="0.25">
      <c r="A252" s="82" t="s">
        <v>399</v>
      </c>
      <c r="B252" s="82" t="s">
        <v>400</v>
      </c>
      <c r="C252" s="82" t="s">
        <v>63</v>
      </c>
      <c r="D252" s="82" t="s">
        <v>64</v>
      </c>
      <c r="E252" s="82" t="s">
        <v>15</v>
      </c>
      <c r="F252" s="82" t="s">
        <v>11</v>
      </c>
      <c r="G252" s="266">
        <v>139.66968</v>
      </c>
    </row>
    <row r="253" spans="1:7" s="81" customFormat="1" x14ac:dyDescent="0.25">
      <c r="A253" s="82" t="s">
        <v>177</v>
      </c>
      <c r="B253" s="82" t="s">
        <v>178</v>
      </c>
      <c r="C253" s="82" t="s">
        <v>63</v>
      </c>
      <c r="D253" s="82" t="s">
        <v>64</v>
      </c>
      <c r="E253" s="82" t="s">
        <v>728</v>
      </c>
      <c r="F253" s="82" t="s">
        <v>11</v>
      </c>
      <c r="G253" s="266">
        <v>16.146103</v>
      </c>
    </row>
    <row r="254" spans="1:7" s="102" customFormat="1" x14ac:dyDescent="0.25">
      <c r="A254" s="103" t="s">
        <v>401</v>
      </c>
      <c r="B254" s="103" t="s">
        <v>402</v>
      </c>
      <c r="C254" s="103" t="s">
        <v>14</v>
      </c>
      <c r="D254" s="103" t="s">
        <v>740</v>
      </c>
      <c r="E254" s="103" t="s">
        <v>727</v>
      </c>
      <c r="F254" s="103" t="s">
        <v>741</v>
      </c>
      <c r="G254" s="266">
        <v>9.1779770000000003</v>
      </c>
    </row>
    <row r="255" spans="1:7" s="81" customFormat="1" x14ac:dyDescent="0.25">
      <c r="A255" s="82" t="s">
        <v>126</v>
      </c>
      <c r="B255" s="82" t="s">
        <v>127</v>
      </c>
      <c r="C255" s="82" t="s">
        <v>9</v>
      </c>
      <c r="D255" s="82" t="s">
        <v>10</v>
      </c>
      <c r="E255" s="82" t="s">
        <v>728</v>
      </c>
      <c r="F255" s="82" t="s">
        <v>11</v>
      </c>
      <c r="G255" s="266">
        <v>29.606297999999999</v>
      </c>
    </row>
    <row r="256" spans="1:7" s="81" customFormat="1" x14ac:dyDescent="0.25">
      <c r="A256" s="82" t="s">
        <v>403</v>
      </c>
      <c r="B256" s="82" t="s">
        <v>404</v>
      </c>
      <c r="C256" s="82" t="s">
        <v>14</v>
      </c>
      <c r="D256" s="82" t="s">
        <v>740</v>
      </c>
      <c r="E256" s="82" t="s">
        <v>728</v>
      </c>
      <c r="F256" s="82" t="s">
        <v>11</v>
      </c>
      <c r="G256" s="266">
        <v>27.706410999999999</v>
      </c>
    </row>
    <row r="257" spans="1:9" s="81" customFormat="1" x14ac:dyDescent="0.25">
      <c r="A257" s="82" t="s">
        <v>211</v>
      </c>
      <c r="B257" s="82" t="s">
        <v>212</v>
      </c>
      <c r="C257" s="82" t="s">
        <v>30</v>
      </c>
      <c r="D257" s="82" t="s">
        <v>732</v>
      </c>
      <c r="E257" s="82" t="s">
        <v>728</v>
      </c>
      <c r="F257" s="82" t="s">
        <v>11</v>
      </c>
      <c r="G257" s="266">
        <v>46.005960000000002</v>
      </c>
      <c r="I257" s="83"/>
    </row>
    <row r="258" spans="1:9" s="129" customFormat="1" x14ac:dyDescent="0.25">
      <c r="A258" s="130" t="s">
        <v>405</v>
      </c>
      <c r="B258" s="130" t="s">
        <v>406</v>
      </c>
      <c r="C258" s="130" t="s">
        <v>30</v>
      </c>
      <c r="D258" s="130" t="s">
        <v>732</v>
      </c>
      <c r="E258" s="130" t="s">
        <v>15</v>
      </c>
      <c r="F258" s="130" t="s">
        <v>11</v>
      </c>
      <c r="G258" s="266">
        <v>105.89315000000001</v>
      </c>
      <c r="H258" s="131">
        <f>G258+G714</f>
        <v>108.82022040000001</v>
      </c>
    </row>
    <row r="259" spans="1:9" s="28" customFormat="1" x14ac:dyDescent="0.25">
      <c r="A259" s="86" t="s">
        <v>407</v>
      </c>
      <c r="B259" s="86" t="s">
        <v>408</v>
      </c>
      <c r="C259" s="86" t="s">
        <v>157</v>
      </c>
      <c r="D259" s="86" t="s">
        <v>158</v>
      </c>
      <c r="E259" s="86" t="s">
        <v>726</v>
      </c>
      <c r="F259" s="86" t="s">
        <v>35</v>
      </c>
      <c r="G259" s="266">
        <v>69.132390000000001</v>
      </c>
    </row>
    <row r="260" spans="1:9" s="28" customFormat="1" x14ac:dyDescent="0.25">
      <c r="A260" s="86" t="s">
        <v>409</v>
      </c>
      <c r="B260" s="86" t="s">
        <v>410</v>
      </c>
      <c r="C260" s="86" t="s">
        <v>411</v>
      </c>
      <c r="D260" s="86" t="s">
        <v>737</v>
      </c>
      <c r="E260" s="86" t="s">
        <v>726</v>
      </c>
      <c r="F260" s="86" t="s">
        <v>35</v>
      </c>
      <c r="G260" s="266">
        <v>163.80502000000001</v>
      </c>
    </row>
    <row r="261" spans="1:9" s="81" customFormat="1" x14ac:dyDescent="0.25">
      <c r="A261" s="82" t="s">
        <v>412</v>
      </c>
      <c r="B261" s="82" t="s">
        <v>413</v>
      </c>
      <c r="C261" s="82" t="s">
        <v>227</v>
      </c>
      <c r="D261" s="82" t="s">
        <v>228</v>
      </c>
      <c r="E261" s="82" t="s">
        <v>727</v>
      </c>
      <c r="F261" s="82" t="s">
        <v>11</v>
      </c>
      <c r="G261" s="266">
        <v>272.18572999999998</v>
      </c>
    </row>
    <row r="262" spans="1:9" s="81" customFormat="1" x14ac:dyDescent="0.25">
      <c r="A262" s="82" t="s">
        <v>414</v>
      </c>
      <c r="B262" s="82" t="s">
        <v>415</v>
      </c>
      <c r="C262" s="82" t="s">
        <v>80</v>
      </c>
      <c r="D262" s="82" t="s">
        <v>733</v>
      </c>
      <c r="E262" s="82" t="s">
        <v>728</v>
      </c>
      <c r="F262" s="82" t="s">
        <v>11</v>
      </c>
      <c r="G262" s="266">
        <v>810.73095999999998</v>
      </c>
    </row>
    <row r="263" spans="1:9" s="81" customFormat="1" x14ac:dyDescent="0.25">
      <c r="A263" s="82" t="s">
        <v>416</v>
      </c>
      <c r="B263" s="82" t="s">
        <v>417</v>
      </c>
      <c r="C263" s="82" t="s">
        <v>27</v>
      </c>
      <c r="D263" s="82" t="s">
        <v>738</v>
      </c>
      <c r="E263" s="82" t="s">
        <v>15</v>
      </c>
      <c r="F263" s="82" t="s">
        <v>11</v>
      </c>
      <c r="G263" s="266">
        <v>3.0584039999999999</v>
      </c>
    </row>
    <row r="264" spans="1:9" s="129" customFormat="1" x14ac:dyDescent="0.25">
      <c r="A264" s="130" t="s">
        <v>359</v>
      </c>
      <c r="B264" s="130" t="s">
        <v>360</v>
      </c>
      <c r="C264" s="130" t="s">
        <v>30</v>
      </c>
      <c r="D264" s="130" t="s">
        <v>732</v>
      </c>
      <c r="E264" s="130" t="s">
        <v>15</v>
      </c>
      <c r="F264" s="130" t="s">
        <v>11</v>
      </c>
      <c r="G264" s="266">
        <v>35.362633000000002</v>
      </c>
      <c r="H264" s="131"/>
    </row>
    <row r="265" spans="1:9" s="81" customFormat="1" x14ac:dyDescent="0.25">
      <c r="A265" s="82" t="s">
        <v>231</v>
      </c>
      <c r="B265" s="82" t="s">
        <v>232</v>
      </c>
      <c r="C265" s="82" t="s">
        <v>63</v>
      </c>
      <c r="D265" s="82" t="s">
        <v>64</v>
      </c>
      <c r="E265" s="82" t="s">
        <v>727</v>
      </c>
      <c r="F265" s="82" t="s">
        <v>11</v>
      </c>
      <c r="G265" s="266">
        <v>31.073826</v>
      </c>
    </row>
    <row r="266" spans="1:9" s="81" customFormat="1" x14ac:dyDescent="0.25">
      <c r="A266" s="82" t="s">
        <v>418</v>
      </c>
      <c r="B266" s="82" t="s">
        <v>419</v>
      </c>
      <c r="C266" s="82" t="s">
        <v>63</v>
      </c>
      <c r="D266" s="82" t="s">
        <v>64</v>
      </c>
      <c r="E266" s="82" t="s">
        <v>728</v>
      </c>
      <c r="F266" s="82" t="s">
        <v>11</v>
      </c>
      <c r="G266" s="266">
        <v>68.244910000000004</v>
      </c>
    </row>
    <row r="267" spans="1:9" s="81" customFormat="1" x14ac:dyDescent="0.25">
      <c r="A267" s="82" t="s">
        <v>420</v>
      </c>
      <c r="B267" s="82" t="s">
        <v>421</v>
      </c>
      <c r="C267" s="82" t="s">
        <v>18</v>
      </c>
      <c r="D267" s="82" t="s">
        <v>19</v>
      </c>
      <c r="E267" s="82" t="s">
        <v>727</v>
      </c>
      <c r="F267" s="82" t="s">
        <v>11</v>
      </c>
      <c r="G267" s="266">
        <v>74.959199999999996</v>
      </c>
    </row>
    <row r="268" spans="1:9" s="81" customFormat="1" x14ac:dyDescent="0.25">
      <c r="A268" s="82" t="s">
        <v>36</v>
      </c>
      <c r="B268" s="82" t="s">
        <v>37</v>
      </c>
      <c r="C268" s="82" t="s">
        <v>9</v>
      </c>
      <c r="D268" s="82" t="s">
        <v>10</v>
      </c>
      <c r="E268" s="82" t="s">
        <v>15</v>
      </c>
      <c r="F268" s="82" t="s">
        <v>11</v>
      </c>
      <c r="G268" s="266">
        <v>108.55964</v>
      </c>
    </row>
    <row r="269" spans="1:9" s="102" customFormat="1" x14ac:dyDescent="0.25">
      <c r="A269" s="103" t="s">
        <v>134</v>
      </c>
      <c r="B269" s="103" t="s">
        <v>135</v>
      </c>
      <c r="C269" s="103" t="s">
        <v>14</v>
      </c>
      <c r="D269" s="103" t="s">
        <v>740</v>
      </c>
      <c r="E269" s="103" t="s">
        <v>727</v>
      </c>
      <c r="F269" s="103" t="s">
        <v>741</v>
      </c>
      <c r="G269" s="266">
        <v>11.572202000000001</v>
      </c>
    </row>
    <row r="270" spans="1:9" s="81" customFormat="1" x14ac:dyDescent="0.25">
      <c r="A270" s="82" t="s">
        <v>151</v>
      </c>
      <c r="B270" s="82" t="s">
        <v>152</v>
      </c>
      <c r="C270" s="82" t="s">
        <v>24</v>
      </c>
      <c r="D270" s="82" t="s">
        <v>735</v>
      </c>
      <c r="E270" s="82" t="s">
        <v>727</v>
      </c>
      <c r="F270" s="82" t="s">
        <v>11</v>
      </c>
      <c r="G270" s="266">
        <v>24.044107</v>
      </c>
    </row>
    <row r="271" spans="1:9" s="81" customFormat="1" x14ac:dyDescent="0.25">
      <c r="A271" s="82" t="s">
        <v>422</v>
      </c>
      <c r="B271" s="82" t="s">
        <v>423</v>
      </c>
      <c r="C271" s="82" t="s">
        <v>63</v>
      </c>
      <c r="D271" s="82" t="s">
        <v>64</v>
      </c>
      <c r="E271" s="82" t="s">
        <v>728</v>
      </c>
      <c r="F271" s="82" t="s">
        <v>11</v>
      </c>
      <c r="G271" s="266">
        <v>15.037747</v>
      </c>
    </row>
    <row r="272" spans="1:9" s="81" customFormat="1" x14ac:dyDescent="0.25">
      <c r="A272" s="82" t="s">
        <v>179</v>
      </c>
      <c r="B272" s="82" t="s">
        <v>180</v>
      </c>
      <c r="C272" s="82" t="s">
        <v>30</v>
      </c>
      <c r="D272" s="82" t="s">
        <v>732</v>
      </c>
      <c r="E272" s="82" t="s">
        <v>728</v>
      </c>
      <c r="F272" s="82" t="s">
        <v>11</v>
      </c>
      <c r="G272" s="266">
        <v>6.752472</v>
      </c>
    </row>
    <row r="273" spans="1:8" s="182" customFormat="1" x14ac:dyDescent="0.25">
      <c r="A273" s="183" t="s">
        <v>97</v>
      </c>
      <c r="B273" s="183" t="s">
        <v>98</v>
      </c>
      <c r="C273" s="183" t="s">
        <v>75</v>
      </c>
      <c r="D273" s="183" t="s">
        <v>76</v>
      </c>
      <c r="E273" s="183" t="s">
        <v>727</v>
      </c>
      <c r="F273" s="183" t="s">
        <v>77</v>
      </c>
      <c r="G273" s="266">
        <v>4.6701057000000002E-4</v>
      </c>
    </row>
    <row r="274" spans="1:8" s="81" customFormat="1" x14ac:dyDescent="0.25">
      <c r="A274" s="82" t="s">
        <v>424</v>
      </c>
      <c r="B274" s="82" t="s">
        <v>425</v>
      </c>
      <c r="C274" s="82" t="s">
        <v>30</v>
      </c>
      <c r="D274" s="82" t="s">
        <v>732</v>
      </c>
      <c r="E274" s="82" t="s">
        <v>728</v>
      </c>
      <c r="F274" s="82" t="s">
        <v>11</v>
      </c>
      <c r="G274" s="266">
        <v>17.516178</v>
      </c>
    </row>
    <row r="275" spans="1:8" s="81" customFormat="1" x14ac:dyDescent="0.25">
      <c r="A275" s="82" t="s">
        <v>426</v>
      </c>
      <c r="B275" s="82" t="s">
        <v>427</v>
      </c>
      <c r="C275" s="82" t="s">
        <v>18</v>
      </c>
      <c r="D275" s="82" t="s">
        <v>19</v>
      </c>
      <c r="E275" s="82" t="s">
        <v>728</v>
      </c>
      <c r="F275" s="82" t="s">
        <v>11</v>
      </c>
      <c r="G275" s="266">
        <v>39.038094000000001</v>
      </c>
    </row>
    <row r="276" spans="1:8" s="102" customFormat="1" x14ac:dyDescent="0.25">
      <c r="A276" s="103" t="s">
        <v>428</v>
      </c>
      <c r="B276" s="103" t="s">
        <v>429</v>
      </c>
      <c r="C276" s="103" t="s">
        <v>14</v>
      </c>
      <c r="D276" s="103" t="s">
        <v>740</v>
      </c>
      <c r="E276" s="103" t="s">
        <v>727</v>
      </c>
      <c r="F276" s="103" t="s">
        <v>741</v>
      </c>
      <c r="G276" s="266">
        <v>270.37885</v>
      </c>
    </row>
    <row r="277" spans="1:8" s="28" customFormat="1" x14ac:dyDescent="0.25">
      <c r="A277" s="86" t="s">
        <v>430</v>
      </c>
      <c r="B277" s="86" t="s">
        <v>431</v>
      </c>
      <c r="C277" s="86" t="s">
        <v>157</v>
      </c>
      <c r="D277" s="86" t="s">
        <v>158</v>
      </c>
      <c r="E277" s="86" t="s">
        <v>726</v>
      </c>
      <c r="F277" s="86" t="s">
        <v>35</v>
      </c>
      <c r="G277" s="266">
        <v>62.820120000000003</v>
      </c>
    </row>
    <row r="278" spans="1:8" s="81" customFormat="1" x14ac:dyDescent="0.25">
      <c r="A278" s="82" t="s">
        <v>426</v>
      </c>
      <c r="B278" s="82" t="s">
        <v>427</v>
      </c>
      <c r="C278" s="82" t="s">
        <v>18</v>
      </c>
      <c r="D278" s="82" t="s">
        <v>19</v>
      </c>
      <c r="E278" s="82" t="s">
        <v>15</v>
      </c>
      <c r="F278" s="82" t="s">
        <v>11</v>
      </c>
      <c r="G278" s="266">
        <v>252.94055</v>
      </c>
    </row>
    <row r="279" spans="1:8" s="81" customFormat="1" x14ac:dyDescent="0.25">
      <c r="A279" s="82" t="s">
        <v>432</v>
      </c>
      <c r="B279" s="82" t="s">
        <v>433</v>
      </c>
      <c r="C279" s="82" t="s">
        <v>30</v>
      </c>
      <c r="D279" s="82" t="s">
        <v>732</v>
      </c>
      <c r="E279" s="82" t="s">
        <v>15</v>
      </c>
      <c r="F279" s="82" t="s">
        <v>11</v>
      </c>
      <c r="G279" s="266">
        <v>32.427067000000001</v>
      </c>
    </row>
    <row r="280" spans="1:8" s="81" customFormat="1" x14ac:dyDescent="0.25">
      <c r="A280" s="82" t="s">
        <v>412</v>
      </c>
      <c r="B280" s="82" t="s">
        <v>413</v>
      </c>
      <c r="C280" s="82" t="s">
        <v>227</v>
      </c>
      <c r="D280" s="82" t="s">
        <v>228</v>
      </c>
      <c r="E280" s="82" t="s">
        <v>15</v>
      </c>
      <c r="F280" s="82" t="s">
        <v>11</v>
      </c>
      <c r="G280" s="266">
        <v>5341.7860000000001</v>
      </c>
    </row>
    <row r="281" spans="1:8" s="102" customFormat="1" x14ac:dyDescent="0.25">
      <c r="A281" s="103" t="s">
        <v>134</v>
      </c>
      <c r="B281" s="103" t="s">
        <v>135</v>
      </c>
      <c r="C281" s="103" t="s">
        <v>14</v>
      </c>
      <c r="D281" s="103" t="s">
        <v>740</v>
      </c>
      <c r="E281" s="103" t="s">
        <v>728</v>
      </c>
      <c r="F281" s="103" t="s">
        <v>741</v>
      </c>
      <c r="G281" s="266">
        <v>16.537167</v>
      </c>
    </row>
    <row r="282" spans="1:8" s="102" customFormat="1" x14ac:dyDescent="0.25">
      <c r="A282" s="103" t="s">
        <v>401</v>
      </c>
      <c r="B282" s="103" t="s">
        <v>402</v>
      </c>
      <c r="C282" s="103" t="s">
        <v>14</v>
      </c>
      <c r="D282" s="103" t="s">
        <v>740</v>
      </c>
      <c r="E282" s="103" t="s">
        <v>728</v>
      </c>
      <c r="F282" s="103" t="s">
        <v>741</v>
      </c>
      <c r="G282" s="266">
        <v>49.306640000000002</v>
      </c>
    </row>
    <row r="283" spans="1:8" s="81" customFormat="1" x14ac:dyDescent="0.25">
      <c r="A283" s="82" t="s">
        <v>434</v>
      </c>
      <c r="B283" s="82" t="s">
        <v>435</v>
      </c>
      <c r="C283" s="82" t="s">
        <v>80</v>
      </c>
      <c r="D283" s="82" t="s">
        <v>733</v>
      </c>
      <c r="E283" s="82" t="s">
        <v>727</v>
      </c>
      <c r="F283" s="82" t="s">
        <v>11</v>
      </c>
      <c r="G283" s="266">
        <v>124.86629499999999</v>
      </c>
    </row>
    <row r="284" spans="1:8" s="28" customFormat="1" x14ac:dyDescent="0.25">
      <c r="A284" s="86" t="s">
        <v>436</v>
      </c>
      <c r="B284" s="86" t="s">
        <v>437</v>
      </c>
      <c r="C284" s="86" t="s">
        <v>157</v>
      </c>
      <c r="D284" s="86" t="s">
        <v>158</v>
      </c>
      <c r="E284" s="86" t="s">
        <v>726</v>
      </c>
      <c r="F284" s="86" t="s">
        <v>35</v>
      </c>
      <c r="G284" s="266">
        <v>99.508933999999996</v>
      </c>
    </row>
    <row r="285" spans="1:8" s="129" customFormat="1" x14ac:dyDescent="0.25">
      <c r="A285" s="130" t="s">
        <v>424</v>
      </c>
      <c r="B285" s="130" t="s">
        <v>425</v>
      </c>
      <c r="C285" s="130" t="s">
        <v>30</v>
      </c>
      <c r="D285" s="130" t="s">
        <v>732</v>
      </c>
      <c r="E285" s="130" t="s">
        <v>15</v>
      </c>
      <c r="F285" s="130" t="s">
        <v>11</v>
      </c>
      <c r="G285" s="266">
        <v>41.718547999999998</v>
      </c>
      <c r="H285" s="131">
        <f>G285+G864</f>
        <v>42.737867199999997</v>
      </c>
    </row>
    <row r="286" spans="1:8" s="81" customFormat="1" x14ac:dyDescent="0.25">
      <c r="A286" s="82" t="s">
        <v>193</v>
      </c>
      <c r="B286" s="82" t="s">
        <v>194</v>
      </c>
      <c r="C286" s="82" t="s">
        <v>189</v>
      </c>
      <c r="D286" s="82" t="s">
        <v>190</v>
      </c>
      <c r="E286" s="82" t="s">
        <v>727</v>
      </c>
      <c r="F286" s="82" t="s">
        <v>11</v>
      </c>
      <c r="G286" s="266">
        <v>607.62427000000002</v>
      </c>
    </row>
    <row r="287" spans="1:8" s="81" customFormat="1" x14ac:dyDescent="0.25">
      <c r="A287" s="82" t="s">
        <v>265</v>
      </c>
      <c r="B287" s="82" t="s">
        <v>266</v>
      </c>
      <c r="C287" s="82" t="s">
        <v>63</v>
      </c>
      <c r="D287" s="82" t="s">
        <v>64</v>
      </c>
      <c r="E287" s="82" t="s">
        <v>15</v>
      </c>
      <c r="F287" s="82" t="s">
        <v>11</v>
      </c>
      <c r="G287" s="266">
        <v>40.015929999999997</v>
      </c>
    </row>
    <row r="288" spans="1:8" s="81" customFormat="1" x14ac:dyDescent="0.25">
      <c r="A288" s="82" t="s">
        <v>438</v>
      </c>
      <c r="B288" s="82" t="s">
        <v>439</v>
      </c>
      <c r="C288" s="82" t="s">
        <v>9</v>
      </c>
      <c r="D288" s="82" t="s">
        <v>10</v>
      </c>
      <c r="E288" s="82" t="s">
        <v>728</v>
      </c>
      <c r="F288" s="82" t="s">
        <v>11</v>
      </c>
      <c r="G288" s="266">
        <v>28.591272</v>
      </c>
    </row>
    <row r="289" spans="1:7" s="81" customFormat="1" x14ac:dyDescent="0.25">
      <c r="A289" s="82" t="s">
        <v>261</v>
      </c>
      <c r="B289" s="82" t="s">
        <v>262</v>
      </c>
      <c r="C289" s="82" t="s">
        <v>27</v>
      </c>
      <c r="D289" s="82" t="s">
        <v>738</v>
      </c>
      <c r="E289" s="82" t="s">
        <v>728</v>
      </c>
      <c r="F289" s="82" t="s">
        <v>11</v>
      </c>
      <c r="G289" s="266">
        <v>27.148657</v>
      </c>
    </row>
    <row r="290" spans="1:7" s="102" customFormat="1" x14ac:dyDescent="0.25">
      <c r="A290" s="103" t="s">
        <v>351</v>
      </c>
      <c r="B290" s="103" t="s">
        <v>352</v>
      </c>
      <c r="C290" s="103" t="s">
        <v>14</v>
      </c>
      <c r="D290" s="103" t="s">
        <v>740</v>
      </c>
      <c r="E290" s="103" t="s">
        <v>729</v>
      </c>
      <c r="F290" s="103" t="s">
        <v>741</v>
      </c>
      <c r="G290" s="266">
        <v>53.072642999999999</v>
      </c>
    </row>
    <row r="291" spans="1:7" s="28" customFormat="1" x14ac:dyDescent="0.25">
      <c r="A291" s="86" t="s">
        <v>440</v>
      </c>
      <c r="B291" s="86" t="s">
        <v>441</v>
      </c>
      <c r="C291" s="86" t="s">
        <v>157</v>
      </c>
      <c r="D291" s="86" t="s">
        <v>158</v>
      </c>
      <c r="E291" s="86" t="s">
        <v>726</v>
      </c>
      <c r="F291" s="86" t="s">
        <v>35</v>
      </c>
      <c r="G291" s="266">
        <v>41.006557000000001</v>
      </c>
    </row>
    <row r="292" spans="1:7" s="81" customFormat="1" x14ac:dyDescent="0.25">
      <c r="A292" s="82" t="s">
        <v>229</v>
      </c>
      <c r="B292" s="82" t="s">
        <v>230</v>
      </c>
      <c r="C292" s="82" t="s">
        <v>80</v>
      </c>
      <c r="D292" s="82" t="s">
        <v>733</v>
      </c>
      <c r="E292" s="82" t="s">
        <v>15</v>
      </c>
      <c r="F292" s="82" t="s">
        <v>11</v>
      </c>
      <c r="G292" s="266">
        <v>67.127700000000004</v>
      </c>
    </row>
    <row r="293" spans="1:7" s="81" customFormat="1" x14ac:dyDescent="0.25">
      <c r="A293" s="82" t="s">
        <v>442</v>
      </c>
      <c r="B293" s="82" t="s">
        <v>443</v>
      </c>
      <c r="C293" s="82" t="s">
        <v>14</v>
      </c>
      <c r="D293" s="82" t="s">
        <v>740</v>
      </c>
      <c r="E293" s="82" t="s">
        <v>15</v>
      </c>
      <c r="F293" s="82" t="s">
        <v>11</v>
      </c>
      <c r="G293" s="266">
        <v>131.00389000000001</v>
      </c>
    </row>
    <row r="294" spans="1:7" s="81" customFormat="1" x14ac:dyDescent="0.25">
      <c r="A294" s="82" t="s">
        <v>444</v>
      </c>
      <c r="B294" s="82" t="s">
        <v>445</v>
      </c>
      <c r="C294" s="82" t="s">
        <v>24</v>
      </c>
      <c r="D294" s="82" t="s">
        <v>735</v>
      </c>
      <c r="E294" s="82" t="s">
        <v>15</v>
      </c>
      <c r="F294" s="82" t="s">
        <v>11</v>
      </c>
      <c r="G294" s="266">
        <v>13.634687</v>
      </c>
    </row>
    <row r="295" spans="1:7" s="81" customFormat="1" x14ac:dyDescent="0.25">
      <c r="A295" s="82" t="s">
        <v>414</v>
      </c>
      <c r="B295" s="82" t="s">
        <v>415</v>
      </c>
      <c r="C295" s="82" t="s">
        <v>80</v>
      </c>
      <c r="D295" s="82" t="s">
        <v>733</v>
      </c>
      <c r="E295" s="82" t="s">
        <v>15</v>
      </c>
      <c r="F295" s="82" t="s">
        <v>11</v>
      </c>
      <c r="G295" s="266">
        <v>1044.462</v>
      </c>
    </row>
    <row r="296" spans="1:7" s="81" customFormat="1" x14ac:dyDescent="0.25">
      <c r="A296" s="82" t="s">
        <v>446</v>
      </c>
      <c r="B296" s="82" t="s">
        <v>447</v>
      </c>
      <c r="C296" s="82" t="s">
        <v>14</v>
      </c>
      <c r="D296" s="82" t="s">
        <v>740</v>
      </c>
      <c r="E296" s="82" t="s">
        <v>15</v>
      </c>
      <c r="F296" s="82" t="s">
        <v>11</v>
      </c>
      <c r="G296" s="266">
        <v>48.867404999999998</v>
      </c>
    </row>
    <row r="297" spans="1:7" s="81" customFormat="1" x14ac:dyDescent="0.25">
      <c r="A297" s="82" t="s">
        <v>177</v>
      </c>
      <c r="B297" s="82" t="s">
        <v>178</v>
      </c>
      <c r="C297" s="82" t="s">
        <v>63</v>
      </c>
      <c r="D297" s="82" t="s">
        <v>64</v>
      </c>
      <c r="E297" s="82" t="s">
        <v>15</v>
      </c>
      <c r="F297" s="82" t="s">
        <v>11</v>
      </c>
      <c r="G297" s="266">
        <v>54.78586</v>
      </c>
    </row>
    <row r="298" spans="1:7" s="81" customFormat="1" x14ac:dyDescent="0.25">
      <c r="A298" s="82" t="s">
        <v>51</v>
      </c>
      <c r="B298" s="82" t="s">
        <v>52</v>
      </c>
      <c r="C298" s="82" t="s">
        <v>14</v>
      </c>
      <c r="D298" s="82" t="s">
        <v>740</v>
      </c>
      <c r="E298" s="82" t="s">
        <v>728</v>
      </c>
      <c r="F298" s="82" t="s">
        <v>11</v>
      </c>
      <c r="G298" s="266">
        <v>109.60406</v>
      </c>
    </row>
    <row r="299" spans="1:7" s="81" customFormat="1" x14ac:dyDescent="0.25">
      <c r="A299" s="82" t="s">
        <v>231</v>
      </c>
      <c r="B299" s="82" t="s">
        <v>232</v>
      </c>
      <c r="C299" s="82" t="s">
        <v>63</v>
      </c>
      <c r="D299" s="82" t="s">
        <v>64</v>
      </c>
      <c r="E299" s="82" t="s">
        <v>728</v>
      </c>
      <c r="F299" s="82" t="s">
        <v>11</v>
      </c>
      <c r="G299" s="266">
        <v>21.876767999999998</v>
      </c>
    </row>
    <row r="300" spans="1:7" s="81" customFormat="1" x14ac:dyDescent="0.25">
      <c r="A300" s="82" t="s">
        <v>257</v>
      </c>
      <c r="B300" s="82" t="s">
        <v>258</v>
      </c>
      <c r="C300" s="82" t="s">
        <v>14</v>
      </c>
      <c r="D300" s="82" t="s">
        <v>740</v>
      </c>
      <c r="E300" s="82" t="s">
        <v>728</v>
      </c>
      <c r="F300" s="82" t="s">
        <v>11</v>
      </c>
      <c r="G300" s="266">
        <v>4.0684560000000003</v>
      </c>
    </row>
    <row r="301" spans="1:7" s="81" customFormat="1" x14ac:dyDescent="0.25">
      <c r="A301" s="82" t="s">
        <v>375</v>
      </c>
      <c r="B301" s="82" t="s">
        <v>376</v>
      </c>
      <c r="C301" s="82" t="s">
        <v>18</v>
      </c>
      <c r="D301" s="82" t="s">
        <v>19</v>
      </c>
      <c r="E301" s="82" t="s">
        <v>727</v>
      </c>
      <c r="F301" s="82" t="s">
        <v>11</v>
      </c>
      <c r="G301" s="266">
        <v>31.954951999999999</v>
      </c>
    </row>
    <row r="302" spans="1:7" s="129" customFormat="1" x14ac:dyDescent="0.25">
      <c r="A302" s="130" t="s">
        <v>448</v>
      </c>
      <c r="B302" s="130" t="s">
        <v>449</v>
      </c>
      <c r="C302" s="130" t="s">
        <v>80</v>
      </c>
      <c r="D302" s="130" t="s">
        <v>733</v>
      </c>
      <c r="E302" s="130" t="s">
        <v>15</v>
      </c>
      <c r="F302" s="130" t="s">
        <v>11</v>
      </c>
      <c r="G302" s="266">
        <v>675.95214999999996</v>
      </c>
    </row>
    <row r="303" spans="1:7" s="81" customFormat="1" x14ac:dyDescent="0.25">
      <c r="A303" s="82" t="s">
        <v>323</v>
      </c>
      <c r="B303" s="82" t="s">
        <v>324</v>
      </c>
      <c r="C303" s="82" t="s">
        <v>80</v>
      </c>
      <c r="D303" s="82" t="s">
        <v>733</v>
      </c>
      <c r="E303" s="82" t="s">
        <v>728</v>
      </c>
      <c r="F303" s="82" t="s">
        <v>11</v>
      </c>
      <c r="G303" s="266">
        <v>85.784360000000007</v>
      </c>
    </row>
    <row r="304" spans="1:7" s="102" customFormat="1" x14ac:dyDescent="0.25">
      <c r="A304" s="103" t="s">
        <v>428</v>
      </c>
      <c r="B304" s="103" t="s">
        <v>429</v>
      </c>
      <c r="C304" s="103" t="s">
        <v>14</v>
      </c>
      <c r="D304" s="103" t="s">
        <v>740</v>
      </c>
      <c r="E304" s="103" t="s">
        <v>15</v>
      </c>
      <c r="F304" s="103" t="s">
        <v>741</v>
      </c>
      <c r="G304" s="266">
        <v>140.53423000000001</v>
      </c>
    </row>
    <row r="305" spans="1:7" s="81" customFormat="1" x14ac:dyDescent="0.25">
      <c r="A305" s="82" t="s">
        <v>279</v>
      </c>
      <c r="B305" s="82" t="s">
        <v>280</v>
      </c>
      <c r="C305" s="82" t="s">
        <v>18</v>
      </c>
      <c r="D305" s="82" t="s">
        <v>19</v>
      </c>
      <c r="E305" s="82" t="s">
        <v>15</v>
      </c>
      <c r="F305" s="82" t="s">
        <v>11</v>
      </c>
      <c r="G305" s="266">
        <v>225.77159</v>
      </c>
    </row>
    <row r="306" spans="1:7" s="54" customFormat="1" x14ac:dyDescent="0.25">
      <c r="A306" s="53" t="s">
        <v>450</v>
      </c>
      <c r="B306" s="53" t="s">
        <v>451</v>
      </c>
      <c r="C306" s="53" t="s">
        <v>14</v>
      </c>
      <c r="D306" s="53" t="s">
        <v>740</v>
      </c>
      <c r="E306" s="53" t="s">
        <v>15</v>
      </c>
      <c r="F306" s="53" t="s">
        <v>11</v>
      </c>
      <c r="G306" s="266">
        <v>26.168406000000001</v>
      </c>
    </row>
    <row r="307" spans="1:7" s="81" customFormat="1" x14ac:dyDescent="0.25">
      <c r="A307" s="82" t="s">
        <v>114</v>
      </c>
      <c r="B307" s="82" t="s">
        <v>115</v>
      </c>
      <c r="C307" s="82" t="s">
        <v>46</v>
      </c>
      <c r="D307" s="82" t="s">
        <v>739</v>
      </c>
      <c r="E307" s="82" t="s">
        <v>728</v>
      </c>
      <c r="F307" s="82" t="s">
        <v>11</v>
      </c>
      <c r="G307" s="266">
        <v>56.900641999999998</v>
      </c>
    </row>
    <row r="308" spans="1:7" s="81" customFormat="1" x14ac:dyDescent="0.25">
      <c r="A308" s="82" t="s">
        <v>383</v>
      </c>
      <c r="B308" s="82" t="s">
        <v>384</v>
      </c>
      <c r="C308" s="82" t="s">
        <v>189</v>
      </c>
      <c r="D308" s="82" t="s">
        <v>190</v>
      </c>
      <c r="E308" s="82" t="s">
        <v>15</v>
      </c>
      <c r="F308" s="82" t="s">
        <v>11</v>
      </c>
      <c r="G308" s="131">
        <f>alea_gardon!G40</f>
        <v>1324.1942950781199</v>
      </c>
    </row>
    <row r="309" spans="1:7" s="81" customFormat="1" x14ac:dyDescent="0.25">
      <c r="A309" s="82" t="s">
        <v>452</v>
      </c>
      <c r="B309" s="82" t="s">
        <v>453</v>
      </c>
      <c r="C309" s="82" t="s">
        <v>30</v>
      </c>
      <c r="D309" s="82" t="s">
        <v>732</v>
      </c>
      <c r="E309" s="82" t="s">
        <v>728</v>
      </c>
      <c r="F309" s="82" t="s">
        <v>11</v>
      </c>
      <c r="G309" s="266">
        <v>236.04721000000001</v>
      </c>
    </row>
    <row r="310" spans="1:7" s="81" customFormat="1" x14ac:dyDescent="0.25">
      <c r="A310" s="82" t="s">
        <v>321</v>
      </c>
      <c r="B310" s="82" t="s">
        <v>322</v>
      </c>
      <c r="C310" s="82" t="s">
        <v>63</v>
      </c>
      <c r="D310" s="82" t="s">
        <v>64</v>
      </c>
      <c r="E310" s="82" t="s">
        <v>727</v>
      </c>
      <c r="F310" s="82" t="s">
        <v>11</v>
      </c>
      <c r="G310" s="266">
        <v>168.75023999999999</v>
      </c>
    </row>
    <row r="311" spans="1:7" s="28" customFormat="1" x14ac:dyDescent="0.25">
      <c r="A311" s="86" t="s">
        <v>295</v>
      </c>
      <c r="B311" s="86" t="s">
        <v>296</v>
      </c>
      <c r="C311" s="86" t="s">
        <v>63</v>
      </c>
      <c r="D311" s="86" t="s">
        <v>64</v>
      </c>
      <c r="E311" s="86" t="s">
        <v>726</v>
      </c>
      <c r="F311" s="86" t="s">
        <v>105</v>
      </c>
      <c r="G311" s="266">
        <v>4.2849525999999996</v>
      </c>
    </row>
    <row r="312" spans="1:7" s="81" customFormat="1" x14ac:dyDescent="0.25">
      <c r="A312" s="82" t="s">
        <v>167</v>
      </c>
      <c r="B312" s="82" t="s">
        <v>168</v>
      </c>
      <c r="C312" s="82" t="s">
        <v>33</v>
      </c>
      <c r="D312" s="82" t="s">
        <v>34</v>
      </c>
      <c r="E312" s="82" t="s">
        <v>728</v>
      </c>
      <c r="F312" s="82" t="s">
        <v>11</v>
      </c>
      <c r="G312" s="266">
        <v>71.92586</v>
      </c>
    </row>
    <row r="313" spans="1:7" s="81" customFormat="1" x14ac:dyDescent="0.25">
      <c r="A313" s="82" t="s">
        <v>454</v>
      </c>
      <c r="B313" s="82" t="s">
        <v>455</v>
      </c>
      <c r="C313" s="82" t="s">
        <v>18</v>
      </c>
      <c r="D313" s="82" t="s">
        <v>19</v>
      </c>
      <c r="E313" s="82" t="s">
        <v>15</v>
      </c>
      <c r="F313" s="82" t="s">
        <v>11</v>
      </c>
      <c r="G313" s="266">
        <v>19.999230000000001</v>
      </c>
    </row>
    <row r="314" spans="1:7" s="81" customFormat="1" x14ac:dyDescent="0.25">
      <c r="A314" s="82" t="s">
        <v>163</v>
      </c>
      <c r="B314" s="82" t="s">
        <v>164</v>
      </c>
      <c r="C314" s="82" t="s">
        <v>14</v>
      </c>
      <c r="D314" s="82" t="s">
        <v>740</v>
      </c>
      <c r="E314" s="82" t="s">
        <v>727</v>
      </c>
      <c r="F314" s="82" t="s">
        <v>11</v>
      </c>
      <c r="G314" s="266">
        <v>20.917677000000001</v>
      </c>
    </row>
    <row r="315" spans="1:7" s="81" customFormat="1" x14ac:dyDescent="0.25">
      <c r="A315" s="82" t="s">
        <v>307</v>
      </c>
      <c r="B315" s="82" t="s">
        <v>308</v>
      </c>
      <c r="C315" s="82" t="s">
        <v>80</v>
      </c>
      <c r="D315" s="82" t="s">
        <v>733</v>
      </c>
      <c r="E315" s="82" t="s">
        <v>15</v>
      </c>
      <c r="F315" s="82" t="s">
        <v>11</v>
      </c>
      <c r="G315" s="266">
        <v>216.54462000000001</v>
      </c>
    </row>
    <row r="316" spans="1:7" s="28" customFormat="1" x14ac:dyDescent="0.25">
      <c r="A316" s="86" t="s">
        <v>456</v>
      </c>
      <c r="B316" s="86" t="s">
        <v>457</v>
      </c>
      <c r="C316" s="86" t="s">
        <v>30</v>
      </c>
      <c r="D316" s="86" t="s">
        <v>732</v>
      </c>
      <c r="E316" s="86" t="s">
        <v>726</v>
      </c>
      <c r="F316" s="86" t="s">
        <v>35</v>
      </c>
      <c r="G316" s="266">
        <v>259.17421999999999</v>
      </c>
    </row>
    <row r="317" spans="1:7" s="81" customFormat="1" x14ac:dyDescent="0.25">
      <c r="A317" s="82" t="s">
        <v>412</v>
      </c>
      <c r="B317" s="82" t="s">
        <v>413</v>
      </c>
      <c r="C317" s="82" t="s">
        <v>227</v>
      </c>
      <c r="D317" s="82" t="s">
        <v>228</v>
      </c>
      <c r="E317" s="82" t="s">
        <v>728</v>
      </c>
      <c r="F317" s="82" t="s">
        <v>11</v>
      </c>
      <c r="G317" s="266">
        <v>139.74382</v>
      </c>
    </row>
    <row r="318" spans="1:7" s="182" customFormat="1" x14ac:dyDescent="0.25">
      <c r="A318" s="183" t="s">
        <v>458</v>
      </c>
      <c r="B318" s="183" t="s">
        <v>459</v>
      </c>
      <c r="C318" s="183" t="s">
        <v>63</v>
      </c>
      <c r="D318" s="183" t="s">
        <v>64</v>
      </c>
      <c r="E318" s="183" t="s">
        <v>15</v>
      </c>
      <c r="F318" s="183" t="s">
        <v>77</v>
      </c>
      <c r="G318" s="266">
        <v>1.0201396</v>
      </c>
    </row>
    <row r="319" spans="1:7" s="81" customFormat="1" x14ac:dyDescent="0.25">
      <c r="A319" s="82" t="s">
        <v>420</v>
      </c>
      <c r="B319" s="82" t="s">
        <v>421</v>
      </c>
      <c r="C319" s="82" t="s">
        <v>18</v>
      </c>
      <c r="D319" s="82" t="s">
        <v>19</v>
      </c>
      <c r="E319" s="82" t="s">
        <v>728</v>
      </c>
      <c r="F319" s="82" t="s">
        <v>11</v>
      </c>
      <c r="G319" s="266">
        <v>72.589709999999997</v>
      </c>
    </row>
    <row r="320" spans="1:7" s="81" customFormat="1" x14ac:dyDescent="0.25">
      <c r="A320" s="82" t="s">
        <v>299</v>
      </c>
      <c r="B320" s="82" t="s">
        <v>300</v>
      </c>
      <c r="C320" s="82" t="s">
        <v>80</v>
      </c>
      <c r="D320" s="82" t="s">
        <v>733</v>
      </c>
      <c r="E320" s="82" t="s">
        <v>729</v>
      </c>
      <c r="F320" s="82" t="s">
        <v>11</v>
      </c>
      <c r="G320" s="266">
        <v>1.2220273E-3</v>
      </c>
    </row>
    <row r="321" spans="1:7" s="81" customFormat="1" x14ac:dyDescent="0.25">
      <c r="A321" s="82" t="s">
        <v>460</v>
      </c>
      <c r="B321" s="82" t="s">
        <v>461</v>
      </c>
      <c r="C321" s="82" t="s">
        <v>30</v>
      </c>
      <c r="D321" s="82" t="s">
        <v>732</v>
      </c>
      <c r="E321" s="82" t="s">
        <v>727</v>
      </c>
      <c r="F321" s="82" t="s">
        <v>11</v>
      </c>
      <c r="G321" s="266">
        <v>0.84952384000000003</v>
      </c>
    </row>
    <row r="322" spans="1:7" s="28" customFormat="1" x14ac:dyDescent="0.25">
      <c r="A322" s="86" t="s">
        <v>462</v>
      </c>
      <c r="B322" s="86" t="s">
        <v>463</v>
      </c>
      <c r="C322" s="86" t="s">
        <v>157</v>
      </c>
      <c r="D322" s="86" t="s">
        <v>158</v>
      </c>
      <c r="E322" s="86" t="s">
        <v>726</v>
      </c>
      <c r="F322" s="86" t="s">
        <v>35</v>
      </c>
      <c r="G322" s="266">
        <v>54.09892</v>
      </c>
    </row>
    <row r="323" spans="1:7" s="81" customFormat="1" x14ac:dyDescent="0.25">
      <c r="A323" s="82" t="s">
        <v>287</v>
      </c>
      <c r="B323" s="82" t="s">
        <v>288</v>
      </c>
      <c r="C323" s="82" t="s">
        <v>18</v>
      </c>
      <c r="D323" s="82" t="s">
        <v>19</v>
      </c>
      <c r="E323" s="82" t="s">
        <v>15</v>
      </c>
      <c r="F323" s="82" t="s">
        <v>11</v>
      </c>
      <c r="G323" s="266">
        <v>1282.1081999999999</v>
      </c>
    </row>
    <row r="324" spans="1:7" s="28" customFormat="1" x14ac:dyDescent="0.25">
      <c r="A324" s="86" t="s">
        <v>464</v>
      </c>
      <c r="B324" s="86" t="s">
        <v>465</v>
      </c>
      <c r="C324" s="86" t="s">
        <v>27</v>
      </c>
      <c r="D324" s="86" t="s">
        <v>738</v>
      </c>
      <c r="E324" s="86" t="s">
        <v>726</v>
      </c>
      <c r="F324" s="86" t="s">
        <v>35</v>
      </c>
      <c r="G324" s="266">
        <v>268.99353000000002</v>
      </c>
    </row>
    <row r="325" spans="1:7" s="81" customFormat="1" x14ac:dyDescent="0.25">
      <c r="A325" s="82" t="s">
        <v>249</v>
      </c>
      <c r="B325" s="82" t="s">
        <v>250</v>
      </c>
      <c r="C325" s="82" t="s">
        <v>46</v>
      </c>
      <c r="D325" s="82" t="s">
        <v>739</v>
      </c>
      <c r="E325" s="82" t="s">
        <v>15</v>
      </c>
      <c r="F325" s="82" t="s">
        <v>11</v>
      </c>
      <c r="G325" s="266">
        <v>338.26029999999997</v>
      </c>
    </row>
    <row r="326" spans="1:7" s="81" customFormat="1" x14ac:dyDescent="0.25">
      <c r="A326" s="82" t="s">
        <v>466</v>
      </c>
      <c r="B326" s="82" t="s">
        <v>467</v>
      </c>
      <c r="C326" s="82" t="s">
        <v>63</v>
      </c>
      <c r="D326" s="82" t="s">
        <v>64</v>
      </c>
      <c r="E326" s="82" t="s">
        <v>727</v>
      </c>
      <c r="F326" s="82" t="s">
        <v>11</v>
      </c>
      <c r="G326" s="266">
        <v>49.402973000000003</v>
      </c>
    </row>
    <row r="327" spans="1:7" s="81" customFormat="1" x14ac:dyDescent="0.25">
      <c r="A327" s="82" t="s">
        <v>468</v>
      </c>
      <c r="B327" s="82" t="s">
        <v>469</v>
      </c>
      <c r="C327" s="82" t="s">
        <v>75</v>
      </c>
      <c r="D327" s="82" t="s">
        <v>76</v>
      </c>
      <c r="E327" s="82" t="s">
        <v>727</v>
      </c>
      <c r="F327" s="82" t="s">
        <v>11</v>
      </c>
      <c r="G327" s="266">
        <v>209.8783</v>
      </c>
    </row>
    <row r="328" spans="1:7" s="28" customFormat="1" x14ac:dyDescent="0.25">
      <c r="A328" s="86" t="s">
        <v>470</v>
      </c>
      <c r="B328" s="86" t="s">
        <v>471</v>
      </c>
      <c r="C328" s="86" t="s">
        <v>30</v>
      </c>
      <c r="D328" s="86" t="s">
        <v>732</v>
      </c>
      <c r="E328" s="86" t="s">
        <v>726</v>
      </c>
      <c r="F328" s="86" t="s">
        <v>35</v>
      </c>
      <c r="G328" s="266">
        <v>62.319679999999998</v>
      </c>
    </row>
    <row r="329" spans="1:7" s="81" customFormat="1" x14ac:dyDescent="0.25">
      <c r="A329" s="82" t="s">
        <v>472</v>
      </c>
      <c r="B329" s="82" t="s">
        <v>473</v>
      </c>
      <c r="C329" s="82" t="s">
        <v>14</v>
      </c>
      <c r="D329" s="82" t="s">
        <v>740</v>
      </c>
      <c r="E329" s="82" t="s">
        <v>728</v>
      </c>
      <c r="F329" s="82" t="s">
        <v>11</v>
      </c>
      <c r="G329" s="266">
        <v>63.106205000000003</v>
      </c>
    </row>
    <row r="330" spans="1:7" s="81" customFormat="1" x14ac:dyDescent="0.25">
      <c r="A330" s="82" t="s">
        <v>389</v>
      </c>
      <c r="B330" s="82" t="s">
        <v>390</v>
      </c>
      <c r="C330" s="82" t="s">
        <v>14</v>
      </c>
      <c r="D330" s="82" t="s">
        <v>740</v>
      </c>
      <c r="E330" s="82" t="s">
        <v>15</v>
      </c>
      <c r="F330" s="82" t="s">
        <v>11</v>
      </c>
      <c r="G330" s="266">
        <v>84.920044000000004</v>
      </c>
    </row>
    <row r="331" spans="1:7" s="28" customFormat="1" x14ac:dyDescent="0.25">
      <c r="A331" s="86" t="s">
        <v>474</v>
      </c>
      <c r="B331" s="86" t="s">
        <v>475</v>
      </c>
      <c r="C331" s="86" t="s">
        <v>30</v>
      </c>
      <c r="D331" s="86" t="s">
        <v>732</v>
      </c>
      <c r="E331" s="86" t="s">
        <v>726</v>
      </c>
      <c r="F331" s="86" t="s">
        <v>35</v>
      </c>
      <c r="G331" s="266">
        <v>131.73103</v>
      </c>
    </row>
    <row r="332" spans="1:7" s="81" customFormat="1" x14ac:dyDescent="0.25">
      <c r="A332" s="82" t="s">
        <v>438</v>
      </c>
      <c r="B332" s="82" t="s">
        <v>439</v>
      </c>
      <c r="C332" s="82" t="s">
        <v>9</v>
      </c>
      <c r="D332" s="82" t="s">
        <v>10</v>
      </c>
      <c r="E332" s="82" t="s">
        <v>15</v>
      </c>
      <c r="F332" s="82" t="s">
        <v>11</v>
      </c>
      <c r="G332" s="266">
        <v>124.83165</v>
      </c>
    </row>
    <row r="333" spans="1:7" s="81" customFormat="1" x14ac:dyDescent="0.25">
      <c r="A333" s="82" t="s">
        <v>476</v>
      </c>
      <c r="B333" s="82" t="s">
        <v>477</v>
      </c>
      <c r="C333" s="82" t="s">
        <v>18</v>
      </c>
      <c r="D333" s="82" t="s">
        <v>19</v>
      </c>
      <c r="E333" s="82" t="s">
        <v>728</v>
      </c>
      <c r="F333" s="82" t="s">
        <v>11</v>
      </c>
      <c r="G333" s="266">
        <v>75.251729999999995</v>
      </c>
    </row>
    <row r="334" spans="1:7" s="81" customFormat="1" x14ac:dyDescent="0.25">
      <c r="A334" s="82" t="s">
        <v>478</v>
      </c>
      <c r="B334" s="82" t="s">
        <v>479</v>
      </c>
      <c r="C334" s="82" t="s">
        <v>80</v>
      </c>
      <c r="D334" s="82" t="s">
        <v>733</v>
      </c>
      <c r="E334" s="82" t="s">
        <v>728</v>
      </c>
      <c r="F334" s="82" t="s">
        <v>11</v>
      </c>
      <c r="G334" s="266">
        <v>72.406499999999994</v>
      </c>
    </row>
    <row r="335" spans="1:7" s="81" customFormat="1" x14ac:dyDescent="0.25">
      <c r="A335" s="82" t="s">
        <v>422</v>
      </c>
      <c r="B335" s="82" t="s">
        <v>423</v>
      </c>
      <c r="C335" s="82" t="s">
        <v>63</v>
      </c>
      <c r="D335" s="82" t="s">
        <v>64</v>
      </c>
      <c r="E335" s="82" t="s">
        <v>15</v>
      </c>
      <c r="F335" s="82" t="s">
        <v>11</v>
      </c>
      <c r="G335" s="266">
        <v>44.822024999999996</v>
      </c>
    </row>
    <row r="336" spans="1:7" s="81" customFormat="1" x14ac:dyDescent="0.25">
      <c r="A336" s="82" t="s">
        <v>480</v>
      </c>
      <c r="B336" s="82" t="s">
        <v>481</v>
      </c>
      <c r="C336" s="82" t="s">
        <v>63</v>
      </c>
      <c r="D336" s="82" t="s">
        <v>64</v>
      </c>
      <c r="E336" s="82" t="s">
        <v>728</v>
      </c>
      <c r="F336" s="82" t="s">
        <v>11</v>
      </c>
      <c r="G336" s="266">
        <v>24.563832999999999</v>
      </c>
    </row>
    <row r="337" spans="1:8" s="81" customFormat="1" x14ac:dyDescent="0.25">
      <c r="A337" s="82" t="s">
        <v>187</v>
      </c>
      <c r="B337" s="82" t="s">
        <v>188</v>
      </c>
      <c r="C337" s="82" t="s">
        <v>189</v>
      </c>
      <c r="D337" s="82" t="s">
        <v>190</v>
      </c>
      <c r="E337" s="82" t="s">
        <v>727</v>
      </c>
      <c r="F337" s="82" t="s">
        <v>11</v>
      </c>
      <c r="G337" s="266">
        <v>9.2075320000000005</v>
      </c>
    </row>
    <row r="338" spans="1:8" s="81" customFormat="1" x14ac:dyDescent="0.25">
      <c r="A338" s="82" t="s">
        <v>420</v>
      </c>
      <c r="B338" s="82" t="s">
        <v>421</v>
      </c>
      <c r="C338" s="82" t="s">
        <v>18</v>
      </c>
      <c r="D338" s="82" t="s">
        <v>19</v>
      </c>
      <c r="E338" s="82" t="s">
        <v>15</v>
      </c>
      <c r="F338" s="82" t="s">
        <v>11</v>
      </c>
      <c r="G338" s="266">
        <v>499.98480000000001</v>
      </c>
    </row>
    <row r="339" spans="1:8" s="28" customFormat="1" x14ac:dyDescent="0.25">
      <c r="A339" s="86" t="s">
        <v>482</v>
      </c>
      <c r="B339" s="86" t="s">
        <v>483</v>
      </c>
      <c r="C339" s="86" t="s">
        <v>63</v>
      </c>
      <c r="D339" s="86" t="s">
        <v>64</v>
      </c>
      <c r="E339" s="86" t="s">
        <v>726</v>
      </c>
      <c r="F339" s="86" t="s">
        <v>35</v>
      </c>
      <c r="G339" s="266">
        <v>62.412906999999997</v>
      </c>
    </row>
    <row r="340" spans="1:8" s="81" customFormat="1" x14ac:dyDescent="0.25">
      <c r="A340" s="82" t="s">
        <v>49</v>
      </c>
      <c r="B340" s="82" t="s">
        <v>50</v>
      </c>
      <c r="C340" s="82" t="s">
        <v>30</v>
      </c>
      <c r="D340" s="82" t="s">
        <v>732</v>
      </c>
      <c r="E340" s="82" t="s">
        <v>728</v>
      </c>
      <c r="F340" s="82" t="s">
        <v>11</v>
      </c>
      <c r="G340" s="266">
        <v>42.565125000000002</v>
      </c>
    </row>
    <row r="341" spans="1:8" s="81" customFormat="1" x14ac:dyDescent="0.25">
      <c r="A341" s="82" t="s">
        <v>484</v>
      </c>
      <c r="B341" s="82" t="s">
        <v>485</v>
      </c>
      <c r="C341" s="82" t="s">
        <v>80</v>
      </c>
      <c r="D341" s="82" t="s">
        <v>733</v>
      </c>
      <c r="E341" s="82" t="s">
        <v>15</v>
      </c>
      <c r="F341" s="82" t="s">
        <v>11</v>
      </c>
      <c r="G341" s="266">
        <v>83.933334000000002</v>
      </c>
    </row>
    <row r="342" spans="1:8" s="129" customFormat="1" x14ac:dyDescent="0.25">
      <c r="A342" s="130" t="s">
        <v>486</v>
      </c>
      <c r="B342" s="130" t="s">
        <v>487</v>
      </c>
      <c r="C342" s="130" t="s">
        <v>80</v>
      </c>
      <c r="D342" s="130" t="s">
        <v>733</v>
      </c>
      <c r="E342" s="130" t="s">
        <v>15</v>
      </c>
      <c r="F342" s="130" t="s">
        <v>11</v>
      </c>
      <c r="G342" s="266">
        <v>41.187686999999997</v>
      </c>
      <c r="H342" s="131"/>
    </row>
    <row r="343" spans="1:8" s="28" customFormat="1" x14ac:dyDescent="0.25">
      <c r="A343" s="86" t="s">
        <v>488</v>
      </c>
      <c r="B343" s="86" t="s">
        <v>489</v>
      </c>
      <c r="C343" s="86" t="s">
        <v>157</v>
      </c>
      <c r="D343" s="86" t="s">
        <v>158</v>
      </c>
      <c r="E343" s="86" t="s">
        <v>726</v>
      </c>
      <c r="F343" s="86" t="s">
        <v>35</v>
      </c>
      <c r="G343" s="266">
        <v>86.669173999999998</v>
      </c>
    </row>
    <row r="344" spans="1:8" s="81" customFormat="1" x14ac:dyDescent="0.25">
      <c r="A344" s="82" t="s">
        <v>490</v>
      </c>
      <c r="B344" s="82" t="s">
        <v>491</v>
      </c>
      <c r="C344" s="82" t="s">
        <v>140</v>
      </c>
      <c r="D344" s="82" t="s">
        <v>734</v>
      </c>
      <c r="E344" s="82" t="s">
        <v>728</v>
      </c>
      <c r="F344" s="82" t="s">
        <v>11</v>
      </c>
      <c r="G344" s="266">
        <v>56.437313000000003</v>
      </c>
    </row>
    <row r="345" spans="1:8" s="81" customFormat="1" x14ac:dyDescent="0.25">
      <c r="A345" s="82" t="s">
        <v>460</v>
      </c>
      <c r="B345" s="82" t="s">
        <v>461</v>
      </c>
      <c r="C345" s="82" t="s">
        <v>30</v>
      </c>
      <c r="D345" s="82" t="s">
        <v>732</v>
      </c>
      <c r="E345" s="82" t="s">
        <v>15</v>
      </c>
      <c r="F345" s="82" t="s">
        <v>11</v>
      </c>
      <c r="G345" s="266">
        <v>28.765936</v>
      </c>
    </row>
    <row r="346" spans="1:8" s="81" customFormat="1" x14ac:dyDescent="0.25">
      <c r="A346" s="82" t="s">
        <v>414</v>
      </c>
      <c r="B346" s="82" t="s">
        <v>415</v>
      </c>
      <c r="C346" s="82" t="s">
        <v>80</v>
      </c>
      <c r="D346" s="82" t="s">
        <v>733</v>
      </c>
      <c r="E346" s="82" t="s">
        <v>727</v>
      </c>
      <c r="F346" s="82" t="s">
        <v>11</v>
      </c>
      <c r="G346" s="266">
        <v>1753.0975000000001</v>
      </c>
    </row>
    <row r="347" spans="1:8" s="81" customFormat="1" x14ac:dyDescent="0.25">
      <c r="A347" s="82" t="s">
        <v>112</v>
      </c>
      <c r="B347" s="82" t="s">
        <v>113</v>
      </c>
      <c r="C347" s="82" t="s">
        <v>63</v>
      </c>
      <c r="D347" s="82" t="s">
        <v>64</v>
      </c>
      <c r="E347" s="82" t="s">
        <v>728</v>
      </c>
      <c r="F347" s="82" t="s">
        <v>11</v>
      </c>
      <c r="G347" s="266">
        <v>225.67591999999999</v>
      </c>
    </row>
    <row r="348" spans="1:8" s="81" customFormat="1" x14ac:dyDescent="0.25">
      <c r="A348" s="82" t="s">
        <v>305</v>
      </c>
      <c r="B348" s="82" t="s">
        <v>306</v>
      </c>
      <c r="C348" s="82" t="s">
        <v>80</v>
      </c>
      <c r="D348" s="82" t="s">
        <v>733</v>
      </c>
      <c r="E348" s="82" t="s">
        <v>15</v>
      </c>
      <c r="F348" s="82" t="s">
        <v>11</v>
      </c>
      <c r="G348" s="266">
        <v>252.41699</v>
      </c>
    </row>
    <row r="349" spans="1:8" s="81" customFormat="1" x14ac:dyDescent="0.25">
      <c r="A349" s="82" t="s">
        <v>490</v>
      </c>
      <c r="B349" s="82" t="s">
        <v>491</v>
      </c>
      <c r="C349" s="82" t="s">
        <v>140</v>
      </c>
      <c r="D349" s="82" t="s">
        <v>734</v>
      </c>
      <c r="E349" s="82" t="s">
        <v>727</v>
      </c>
      <c r="F349" s="82" t="s">
        <v>11</v>
      </c>
      <c r="G349" s="266">
        <v>4.2844604999999998</v>
      </c>
    </row>
    <row r="350" spans="1:8" s="81" customFormat="1" x14ac:dyDescent="0.25">
      <c r="A350" s="82" t="s">
        <v>183</v>
      </c>
      <c r="B350" s="82" t="s">
        <v>184</v>
      </c>
      <c r="C350" s="82" t="s">
        <v>24</v>
      </c>
      <c r="D350" s="82" t="s">
        <v>735</v>
      </c>
      <c r="E350" s="82" t="s">
        <v>15</v>
      </c>
      <c r="F350" s="82" t="s">
        <v>11</v>
      </c>
      <c r="G350" s="266">
        <v>173.97792000000001</v>
      </c>
    </row>
    <row r="351" spans="1:8" s="81" customFormat="1" x14ac:dyDescent="0.25">
      <c r="A351" s="82" t="s">
        <v>373</v>
      </c>
      <c r="B351" s="82" t="s">
        <v>374</v>
      </c>
      <c r="C351" s="82" t="s">
        <v>14</v>
      </c>
      <c r="D351" s="82" t="s">
        <v>740</v>
      </c>
      <c r="E351" s="82" t="s">
        <v>728</v>
      </c>
      <c r="F351" s="82" t="s">
        <v>11</v>
      </c>
      <c r="G351" s="266">
        <v>21.2546</v>
      </c>
    </row>
    <row r="352" spans="1:8" s="81" customFormat="1" x14ac:dyDescent="0.25">
      <c r="A352" s="82" t="s">
        <v>99</v>
      </c>
      <c r="B352" s="82" t="s">
        <v>100</v>
      </c>
      <c r="C352" s="82" t="s">
        <v>18</v>
      </c>
      <c r="D352" s="82" t="s">
        <v>19</v>
      </c>
      <c r="E352" s="82" t="s">
        <v>15</v>
      </c>
      <c r="F352" s="82" t="s">
        <v>11</v>
      </c>
      <c r="G352" s="266">
        <v>21.969249999999999</v>
      </c>
    </row>
    <row r="353" spans="1:7" s="81" customFormat="1" x14ac:dyDescent="0.25">
      <c r="A353" s="82" t="s">
        <v>197</v>
      </c>
      <c r="B353" s="82" t="s">
        <v>198</v>
      </c>
      <c r="C353" s="82" t="s">
        <v>30</v>
      </c>
      <c r="D353" s="82" t="s">
        <v>732</v>
      </c>
      <c r="E353" s="82" t="s">
        <v>727</v>
      </c>
      <c r="F353" s="82" t="s">
        <v>11</v>
      </c>
      <c r="G353" s="266">
        <v>5.7699829999999999</v>
      </c>
    </row>
    <row r="354" spans="1:7" s="102" customFormat="1" x14ac:dyDescent="0.25">
      <c r="A354" s="103" t="s">
        <v>492</v>
      </c>
      <c r="B354" s="103" t="s">
        <v>493</v>
      </c>
      <c r="C354" s="103" t="s">
        <v>14</v>
      </c>
      <c r="D354" s="103" t="s">
        <v>740</v>
      </c>
      <c r="E354" s="103" t="s">
        <v>729</v>
      </c>
      <c r="F354" s="103" t="s">
        <v>741</v>
      </c>
      <c r="G354" s="266">
        <v>16.664047</v>
      </c>
    </row>
    <row r="355" spans="1:7" s="81" customFormat="1" x14ac:dyDescent="0.25">
      <c r="A355" s="82" t="s">
        <v>257</v>
      </c>
      <c r="B355" s="82" t="s">
        <v>258</v>
      </c>
      <c r="C355" s="82" t="s">
        <v>14</v>
      </c>
      <c r="D355" s="82" t="s">
        <v>740</v>
      </c>
      <c r="E355" s="82" t="s">
        <v>15</v>
      </c>
      <c r="F355" s="82" t="s">
        <v>11</v>
      </c>
      <c r="G355" s="266">
        <v>20.634589999999999</v>
      </c>
    </row>
    <row r="356" spans="1:7" s="81" customFormat="1" x14ac:dyDescent="0.25">
      <c r="A356" s="82" t="s">
        <v>132</v>
      </c>
      <c r="B356" s="82" t="s">
        <v>133</v>
      </c>
      <c r="C356" s="82" t="s">
        <v>30</v>
      </c>
      <c r="D356" s="82" t="s">
        <v>732</v>
      </c>
      <c r="E356" s="82" t="s">
        <v>727</v>
      </c>
      <c r="F356" s="82" t="s">
        <v>11</v>
      </c>
      <c r="G356" s="266">
        <v>5.6358385000000002</v>
      </c>
    </row>
    <row r="357" spans="1:7" s="81" customFormat="1" x14ac:dyDescent="0.25">
      <c r="A357" s="82" t="s">
        <v>494</v>
      </c>
      <c r="B357" s="82" t="s">
        <v>495</v>
      </c>
      <c r="C357" s="82" t="s">
        <v>46</v>
      </c>
      <c r="D357" s="82" t="s">
        <v>739</v>
      </c>
      <c r="E357" s="82" t="s">
        <v>15</v>
      </c>
      <c r="F357" s="82" t="s">
        <v>11</v>
      </c>
      <c r="G357" s="266">
        <v>171.29642999999999</v>
      </c>
    </row>
    <row r="358" spans="1:7" s="81" customFormat="1" x14ac:dyDescent="0.25">
      <c r="A358" s="82" t="s">
        <v>108</v>
      </c>
      <c r="B358" s="82" t="s">
        <v>109</v>
      </c>
      <c r="C358" s="82" t="s">
        <v>18</v>
      </c>
      <c r="D358" s="82" t="s">
        <v>19</v>
      </c>
      <c r="E358" s="82" t="s">
        <v>728</v>
      </c>
      <c r="F358" s="82" t="s">
        <v>11</v>
      </c>
      <c r="G358" s="266">
        <v>76.682069999999996</v>
      </c>
    </row>
    <row r="359" spans="1:7" s="28" customFormat="1" x14ac:dyDescent="0.25">
      <c r="A359" s="86" t="s">
        <v>496</v>
      </c>
      <c r="B359" s="86" t="s">
        <v>497</v>
      </c>
      <c r="C359" s="86" t="s">
        <v>63</v>
      </c>
      <c r="D359" s="86" t="s">
        <v>64</v>
      </c>
      <c r="E359" s="86" t="s">
        <v>726</v>
      </c>
      <c r="F359" s="86" t="s">
        <v>35</v>
      </c>
      <c r="G359" s="266">
        <v>24.723987999999999</v>
      </c>
    </row>
    <row r="360" spans="1:7" s="81" customFormat="1" x14ac:dyDescent="0.25">
      <c r="A360" s="82" t="s">
        <v>381</v>
      </c>
      <c r="B360" s="82" t="s">
        <v>382</v>
      </c>
      <c r="C360" s="82" t="s">
        <v>27</v>
      </c>
      <c r="D360" s="82" t="s">
        <v>738</v>
      </c>
      <c r="E360" s="82" t="s">
        <v>728</v>
      </c>
      <c r="F360" s="82" t="s">
        <v>11</v>
      </c>
      <c r="G360" s="266">
        <v>57.219239999999999</v>
      </c>
    </row>
    <row r="361" spans="1:7" s="81" customFormat="1" x14ac:dyDescent="0.25">
      <c r="A361" s="82" t="s">
        <v>498</v>
      </c>
      <c r="B361" s="82" t="s">
        <v>499</v>
      </c>
      <c r="C361" s="82" t="s">
        <v>33</v>
      </c>
      <c r="D361" s="82" t="s">
        <v>34</v>
      </c>
      <c r="E361" s="82" t="s">
        <v>727</v>
      </c>
      <c r="F361" s="82" t="s">
        <v>11</v>
      </c>
      <c r="G361" s="266">
        <v>263.74740000000003</v>
      </c>
    </row>
    <row r="362" spans="1:7" s="28" customFormat="1" x14ac:dyDescent="0.25">
      <c r="A362" s="86" t="s">
        <v>500</v>
      </c>
      <c r="B362" s="86" t="s">
        <v>501</v>
      </c>
      <c r="C362" s="86" t="s">
        <v>502</v>
      </c>
      <c r="D362" s="86" t="s">
        <v>736</v>
      </c>
      <c r="E362" s="86" t="s">
        <v>726</v>
      </c>
      <c r="F362" s="86" t="s">
        <v>35</v>
      </c>
      <c r="G362" s="266">
        <v>61.568150000000003</v>
      </c>
    </row>
    <row r="363" spans="1:7" s="81" customFormat="1" x14ac:dyDescent="0.25">
      <c r="A363" s="82" t="s">
        <v>59</v>
      </c>
      <c r="B363" s="82" t="s">
        <v>60</v>
      </c>
      <c r="C363" s="82" t="s">
        <v>9</v>
      </c>
      <c r="D363" s="82" t="s">
        <v>10</v>
      </c>
      <c r="E363" s="82" t="s">
        <v>727</v>
      </c>
      <c r="F363" s="82" t="s">
        <v>11</v>
      </c>
      <c r="G363" s="266">
        <v>121.12175000000001</v>
      </c>
    </row>
    <row r="364" spans="1:7" s="81" customFormat="1" x14ac:dyDescent="0.25">
      <c r="A364" s="82" t="s">
        <v>353</v>
      </c>
      <c r="B364" s="82" t="s">
        <v>354</v>
      </c>
      <c r="C364" s="82" t="s">
        <v>30</v>
      </c>
      <c r="D364" s="82" t="s">
        <v>732</v>
      </c>
      <c r="E364" s="82" t="s">
        <v>728</v>
      </c>
      <c r="F364" s="82" t="s">
        <v>11</v>
      </c>
      <c r="G364" s="266">
        <v>31.467451000000001</v>
      </c>
    </row>
    <row r="365" spans="1:7" s="81" customFormat="1" x14ac:dyDescent="0.25">
      <c r="A365" s="82" t="s">
        <v>309</v>
      </c>
      <c r="B365" s="82" t="s">
        <v>310</v>
      </c>
      <c r="C365" s="82" t="s">
        <v>63</v>
      </c>
      <c r="D365" s="82" t="s">
        <v>64</v>
      </c>
      <c r="E365" s="82" t="s">
        <v>727</v>
      </c>
      <c r="F365" s="82" t="s">
        <v>11</v>
      </c>
      <c r="G365" s="266">
        <v>155.8827</v>
      </c>
    </row>
    <row r="366" spans="1:7" s="81" customFormat="1" x14ac:dyDescent="0.25">
      <c r="A366" s="82" t="s">
        <v>110</v>
      </c>
      <c r="B366" s="82" t="s">
        <v>111</v>
      </c>
      <c r="C366" s="82" t="s">
        <v>30</v>
      </c>
      <c r="D366" s="82" t="s">
        <v>732</v>
      </c>
      <c r="E366" s="82" t="s">
        <v>15</v>
      </c>
      <c r="F366" s="82" t="s">
        <v>11</v>
      </c>
      <c r="G366" s="266">
        <v>31.988900999999998</v>
      </c>
    </row>
    <row r="367" spans="1:7" s="81" customFormat="1" x14ac:dyDescent="0.25">
      <c r="A367" s="82" t="s">
        <v>275</v>
      </c>
      <c r="B367" s="82" t="s">
        <v>276</v>
      </c>
      <c r="C367" s="82" t="s">
        <v>63</v>
      </c>
      <c r="D367" s="82" t="s">
        <v>64</v>
      </c>
      <c r="E367" s="82" t="s">
        <v>15</v>
      </c>
      <c r="F367" s="82" t="s">
        <v>11</v>
      </c>
      <c r="G367" s="266">
        <v>454.65280000000001</v>
      </c>
    </row>
    <row r="368" spans="1:7" s="102" customFormat="1" x14ac:dyDescent="0.25">
      <c r="A368" s="103" t="s">
        <v>428</v>
      </c>
      <c r="B368" s="103" t="s">
        <v>429</v>
      </c>
      <c r="C368" s="103" t="s">
        <v>14</v>
      </c>
      <c r="D368" s="103" t="s">
        <v>740</v>
      </c>
      <c r="E368" s="103" t="s">
        <v>728</v>
      </c>
      <c r="F368" s="103" t="s">
        <v>741</v>
      </c>
      <c r="G368" s="266">
        <v>141.40181000000001</v>
      </c>
    </row>
    <row r="369" spans="1:7" s="102" customFormat="1" x14ac:dyDescent="0.25">
      <c r="A369" s="103" t="s">
        <v>134</v>
      </c>
      <c r="B369" s="103" t="s">
        <v>135</v>
      </c>
      <c r="C369" s="103" t="s">
        <v>14</v>
      </c>
      <c r="D369" s="103" t="s">
        <v>740</v>
      </c>
      <c r="E369" s="103" t="s">
        <v>15</v>
      </c>
      <c r="F369" s="103" t="s">
        <v>741</v>
      </c>
      <c r="G369" s="266">
        <v>3.7919369000000001</v>
      </c>
    </row>
    <row r="370" spans="1:7" s="81" customFormat="1" x14ac:dyDescent="0.25">
      <c r="A370" s="82" t="s">
        <v>503</v>
      </c>
      <c r="B370" s="82" t="s">
        <v>504</v>
      </c>
      <c r="C370" s="82" t="s">
        <v>63</v>
      </c>
      <c r="D370" s="82" t="s">
        <v>64</v>
      </c>
      <c r="E370" s="82" t="s">
        <v>727</v>
      </c>
      <c r="F370" s="82" t="s">
        <v>11</v>
      </c>
      <c r="G370" s="266">
        <v>5.0193396000000003</v>
      </c>
    </row>
    <row r="371" spans="1:7" s="102" customFormat="1" x14ac:dyDescent="0.25">
      <c r="A371" s="103" t="s">
        <v>492</v>
      </c>
      <c r="B371" s="103" t="s">
        <v>493</v>
      </c>
      <c r="C371" s="103" t="s">
        <v>14</v>
      </c>
      <c r="D371" s="103" t="s">
        <v>740</v>
      </c>
      <c r="E371" s="103" t="s">
        <v>728</v>
      </c>
      <c r="F371" s="103" t="s">
        <v>741</v>
      </c>
      <c r="G371" s="266">
        <v>17.418510000000001</v>
      </c>
    </row>
    <row r="372" spans="1:7" s="81" customFormat="1" x14ac:dyDescent="0.25">
      <c r="A372" s="82" t="s">
        <v>317</v>
      </c>
      <c r="B372" s="82" t="s">
        <v>318</v>
      </c>
      <c r="C372" s="82" t="s">
        <v>24</v>
      </c>
      <c r="D372" s="82" t="s">
        <v>735</v>
      </c>
      <c r="E372" s="82" t="s">
        <v>15</v>
      </c>
      <c r="F372" s="82" t="s">
        <v>11</v>
      </c>
      <c r="G372" s="266">
        <v>90.197630000000004</v>
      </c>
    </row>
    <row r="373" spans="1:7" s="81" customFormat="1" x14ac:dyDescent="0.25">
      <c r="A373" s="82" t="s">
        <v>7</v>
      </c>
      <c r="B373" s="82" t="s">
        <v>8</v>
      </c>
      <c r="C373" s="82" t="s">
        <v>9</v>
      </c>
      <c r="D373" s="82" t="s">
        <v>10</v>
      </c>
      <c r="E373" s="82" t="s">
        <v>727</v>
      </c>
      <c r="F373" s="82" t="s">
        <v>11</v>
      </c>
      <c r="G373" s="266">
        <v>177.91130000000001</v>
      </c>
    </row>
    <row r="374" spans="1:7" s="28" customFormat="1" x14ac:dyDescent="0.25">
      <c r="A374" s="86" t="s">
        <v>505</v>
      </c>
      <c r="B374" s="86" t="s">
        <v>506</v>
      </c>
      <c r="C374" s="86" t="s">
        <v>27</v>
      </c>
      <c r="D374" s="86" t="s">
        <v>738</v>
      </c>
      <c r="E374" s="86" t="s">
        <v>726</v>
      </c>
      <c r="F374" s="86" t="s">
        <v>35</v>
      </c>
      <c r="G374" s="266">
        <v>247.17302000000001</v>
      </c>
    </row>
    <row r="375" spans="1:7" s="28" customFormat="1" x14ac:dyDescent="0.25">
      <c r="A375" s="86" t="s">
        <v>159</v>
      </c>
      <c r="B375" s="86" t="s">
        <v>160</v>
      </c>
      <c r="C375" s="86" t="s">
        <v>140</v>
      </c>
      <c r="D375" s="86" t="s">
        <v>734</v>
      </c>
      <c r="E375" s="86" t="s">
        <v>726</v>
      </c>
      <c r="F375" s="86" t="s">
        <v>105</v>
      </c>
      <c r="G375" s="266">
        <v>0.97476183999999999</v>
      </c>
    </row>
    <row r="376" spans="1:7" s="102" customFormat="1" x14ac:dyDescent="0.25">
      <c r="A376" s="103" t="s">
        <v>492</v>
      </c>
      <c r="B376" s="103" t="s">
        <v>493</v>
      </c>
      <c r="C376" s="103" t="s">
        <v>14</v>
      </c>
      <c r="D376" s="103" t="s">
        <v>740</v>
      </c>
      <c r="E376" s="103" t="s">
        <v>727</v>
      </c>
      <c r="F376" s="103" t="s">
        <v>741</v>
      </c>
      <c r="G376" s="266">
        <v>15.275847000000001</v>
      </c>
    </row>
    <row r="377" spans="1:7" s="81" customFormat="1" x14ac:dyDescent="0.25">
      <c r="A377" s="82" t="s">
        <v>507</v>
      </c>
      <c r="B377" s="82" t="s">
        <v>508</v>
      </c>
      <c r="C377" s="82" t="s">
        <v>80</v>
      </c>
      <c r="D377" s="82" t="s">
        <v>733</v>
      </c>
      <c r="E377" s="82" t="s">
        <v>15</v>
      </c>
      <c r="F377" s="82" t="s">
        <v>11</v>
      </c>
      <c r="G377" s="266">
        <v>29.748290999999998</v>
      </c>
    </row>
    <row r="378" spans="1:7" s="81" customFormat="1" x14ac:dyDescent="0.25">
      <c r="A378" s="82" t="s">
        <v>468</v>
      </c>
      <c r="B378" s="82" t="s">
        <v>469</v>
      </c>
      <c r="C378" s="82" t="s">
        <v>75</v>
      </c>
      <c r="D378" s="82" t="s">
        <v>76</v>
      </c>
      <c r="E378" s="82" t="s">
        <v>15</v>
      </c>
      <c r="F378" s="82" t="s">
        <v>11</v>
      </c>
      <c r="G378" s="266">
        <v>612.44604000000004</v>
      </c>
    </row>
    <row r="379" spans="1:7" s="81" customFormat="1" x14ac:dyDescent="0.25">
      <c r="A379" s="82" t="s">
        <v>323</v>
      </c>
      <c r="B379" s="82" t="s">
        <v>324</v>
      </c>
      <c r="C379" s="82" t="s">
        <v>80</v>
      </c>
      <c r="D379" s="82" t="s">
        <v>733</v>
      </c>
      <c r="E379" s="82" t="s">
        <v>729</v>
      </c>
      <c r="F379" s="82" t="s">
        <v>11</v>
      </c>
      <c r="G379" s="83">
        <v>6.2635249999999998E-3</v>
      </c>
    </row>
    <row r="380" spans="1:7" s="81" customFormat="1" x14ac:dyDescent="0.25">
      <c r="A380" s="82" t="s">
        <v>403</v>
      </c>
      <c r="B380" s="82" t="s">
        <v>404</v>
      </c>
      <c r="C380" s="82" t="s">
        <v>14</v>
      </c>
      <c r="D380" s="82" t="s">
        <v>740</v>
      </c>
      <c r="E380" s="82" t="s">
        <v>727</v>
      </c>
      <c r="F380" s="82" t="s">
        <v>11</v>
      </c>
      <c r="G380" s="266">
        <v>20.960842</v>
      </c>
    </row>
    <row r="381" spans="1:7" s="81" customFormat="1" x14ac:dyDescent="0.25">
      <c r="A381" s="82" t="s">
        <v>509</v>
      </c>
      <c r="B381" s="82" t="s">
        <v>510</v>
      </c>
      <c r="C381" s="82" t="s">
        <v>24</v>
      </c>
      <c r="D381" s="82" t="s">
        <v>735</v>
      </c>
      <c r="E381" s="82" t="s">
        <v>15</v>
      </c>
      <c r="F381" s="82" t="s">
        <v>11</v>
      </c>
      <c r="G381" s="266">
        <v>23.763582</v>
      </c>
    </row>
    <row r="382" spans="1:7" s="81" customFormat="1" x14ac:dyDescent="0.25">
      <c r="A382" s="82" t="s">
        <v>476</v>
      </c>
      <c r="B382" s="82" t="s">
        <v>477</v>
      </c>
      <c r="C382" s="82" t="s">
        <v>18</v>
      </c>
      <c r="D382" s="82" t="s">
        <v>19</v>
      </c>
      <c r="E382" s="82" t="s">
        <v>15</v>
      </c>
      <c r="F382" s="82" t="s">
        <v>11</v>
      </c>
      <c r="G382" s="266">
        <v>146.58359999999999</v>
      </c>
    </row>
    <row r="383" spans="1:7" s="54" customFormat="1" x14ac:dyDescent="0.25">
      <c r="A383" s="53" t="s">
        <v>511</v>
      </c>
      <c r="B383" s="53" t="s">
        <v>512</v>
      </c>
      <c r="C383" s="53" t="s">
        <v>27</v>
      </c>
      <c r="D383" s="53" t="s">
        <v>738</v>
      </c>
      <c r="E383" s="53" t="s">
        <v>15</v>
      </c>
      <c r="F383" s="53" t="s">
        <v>11</v>
      </c>
      <c r="G383" s="266">
        <v>61.639781999999997</v>
      </c>
    </row>
    <row r="384" spans="1:7" s="81" customFormat="1" x14ac:dyDescent="0.25">
      <c r="A384" s="82" t="s">
        <v>513</v>
      </c>
      <c r="B384" s="82" t="s">
        <v>514</v>
      </c>
      <c r="C384" s="82" t="s">
        <v>189</v>
      </c>
      <c r="D384" s="82" t="s">
        <v>190</v>
      </c>
      <c r="E384" s="82" t="s">
        <v>727</v>
      </c>
      <c r="F384" s="82" t="s">
        <v>11</v>
      </c>
      <c r="G384" s="266">
        <v>121.50458</v>
      </c>
    </row>
    <row r="385" spans="1:7" s="81" customFormat="1" x14ac:dyDescent="0.25">
      <c r="A385" s="82" t="s">
        <v>141</v>
      </c>
      <c r="B385" s="82" t="s">
        <v>142</v>
      </c>
      <c r="C385" s="82" t="s">
        <v>46</v>
      </c>
      <c r="D385" s="82" t="s">
        <v>739</v>
      </c>
      <c r="E385" s="82" t="s">
        <v>728</v>
      </c>
      <c r="F385" s="82" t="s">
        <v>11</v>
      </c>
      <c r="G385" s="266">
        <v>40.710149999999999</v>
      </c>
    </row>
    <row r="386" spans="1:7" s="81" customFormat="1" x14ac:dyDescent="0.25">
      <c r="A386" s="82" t="s">
        <v>173</v>
      </c>
      <c r="B386" s="82" t="s">
        <v>174</v>
      </c>
      <c r="C386" s="82" t="s">
        <v>9</v>
      </c>
      <c r="D386" s="82" t="s">
        <v>10</v>
      </c>
      <c r="E386" s="82" t="s">
        <v>727</v>
      </c>
      <c r="F386" s="82" t="s">
        <v>11</v>
      </c>
      <c r="G386" s="266">
        <v>37.915813</v>
      </c>
    </row>
    <row r="387" spans="1:7" s="81" customFormat="1" x14ac:dyDescent="0.25">
      <c r="A387" s="82" t="s">
        <v>515</v>
      </c>
      <c r="B387" s="82" t="s">
        <v>516</v>
      </c>
      <c r="C387" s="82" t="s">
        <v>27</v>
      </c>
      <c r="D387" s="82" t="s">
        <v>738</v>
      </c>
      <c r="E387" s="82" t="s">
        <v>728</v>
      </c>
      <c r="F387" s="82" t="s">
        <v>11</v>
      </c>
      <c r="G387" s="266">
        <v>34.713430000000002</v>
      </c>
    </row>
    <row r="388" spans="1:7" s="81" customFormat="1" x14ac:dyDescent="0.25">
      <c r="A388" s="82" t="s">
        <v>503</v>
      </c>
      <c r="B388" s="82" t="s">
        <v>504</v>
      </c>
      <c r="C388" s="82" t="s">
        <v>63</v>
      </c>
      <c r="D388" s="82" t="s">
        <v>64</v>
      </c>
      <c r="E388" s="82" t="s">
        <v>15</v>
      </c>
      <c r="F388" s="82" t="s">
        <v>11</v>
      </c>
      <c r="G388" s="266">
        <v>31.710191999999999</v>
      </c>
    </row>
    <row r="389" spans="1:7" s="81" customFormat="1" x14ac:dyDescent="0.25">
      <c r="A389" s="82" t="s">
        <v>517</v>
      </c>
      <c r="B389" s="82" t="s">
        <v>518</v>
      </c>
      <c r="C389" s="82" t="s">
        <v>24</v>
      </c>
      <c r="D389" s="82" t="s">
        <v>735</v>
      </c>
      <c r="E389" s="82" t="s">
        <v>728</v>
      </c>
      <c r="F389" s="82" t="s">
        <v>11</v>
      </c>
      <c r="G389" s="266">
        <v>23.638372</v>
      </c>
    </row>
    <row r="390" spans="1:7" s="81" customFormat="1" x14ac:dyDescent="0.25">
      <c r="A390" s="82" t="s">
        <v>225</v>
      </c>
      <c r="B390" s="82" t="s">
        <v>226</v>
      </c>
      <c r="C390" s="82" t="s">
        <v>227</v>
      </c>
      <c r="D390" s="82" t="s">
        <v>228</v>
      </c>
      <c r="E390" s="82" t="s">
        <v>15</v>
      </c>
      <c r="F390" s="82" t="s">
        <v>11</v>
      </c>
      <c r="G390" s="266">
        <v>7648.4966000000004</v>
      </c>
    </row>
    <row r="391" spans="1:7" s="81" customFormat="1" x14ac:dyDescent="0.25">
      <c r="A391" s="82" t="s">
        <v>223</v>
      </c>
      <c r="B391" s="82" t="s">
        <v>224</v>
      </c>
      <c r="C391" s="82" t="s">
        <v>80</v>
      </c>
      <c r="D391" s="82" t="s">
        <v>733</v>
      </c>
      <c r="E391" s="82" t="s">
        <v>15</v>
      </c>
      <c r="F391" s="82" t="s">
        <v>11</v>
      </c>
      <c r="G391" s="266">
        <v>78.511349999999993</v>
      </c>
    </row>
    <row r="392" spans="1:7" s="81" customFormat="1" x14ac:dyDescent="0.25">
      <c r="A392" s="82" t="s">
        <v>171</v>
      </c>
      <c r="B392" s="82" t="s">
        <v>172</v>
      </c>
      <c r="C392" s="82" t="s">
        <v>30</v>
      </c>
      <c r="D392" s="82" t="s">
        <v>732</v>
      </c>
      <c r="E392" s="82" t="s">
        <v>728</v>
      </c>
      <c r="F392" s="82" t="s">
        <v>11</v>
      </c>
      <c r="G392" s="266">
        <v>107.45724</v>
      </c>
    </row>
    <row r="393" spans="1:7" s="81" customFormat="1" x14ac:dyDescent="0.25">
      <c r="A393" s="82" t="s">
        <v>305</v>
      </c>
      <c r="B393" s="82" t="s">
        <v>306</v>
      </c>
      <c r="C393" s="82" t="s">
        <v>80</v>
      </c>
      <c r="D393" s="82" t="s">
        <v>733</v>
      </c>
      <c r="E393" s="82" t="s">
        <v>727</v>
      </c>
      <c r="F393" s="82" t="s">
        <v>11</v>
      </c>
      <c r="G393" s="266">
        <v>458.46686</v>
      </c>
    </row>
    <row r="394" spans="1:7" s="28" customFormat="1" x14ac:dyDescent="0.25">
      <c r="A394" s="86" t="s">
        <v>237</v>
      </c>
      <c r="B394" s="86" t="s">
        <v>238</v>
      </c>
      <c r="C394" s="86" t="s">
        <v>63</v>
      </c>
      <c r="D394" s="86" t="s">
        <v>64</v>
      </c>
      <c r="E394" s="86" t="s">
        <v>726</v>
      </c>
      <c r="F394" s="86" t="s">
        <v>35</v>
      </c>
      <c r="G394" s="266">
        <v>83.604789999999994</v>
      </c>
    </row>
    <row r="395" spans="1:7" s="81" customFormat="1" x14ac:dyDescent="0.25">
      <c r="A395" s="82" t="s">
        <v>42</v>
      </c>
      <c r="B395" s="82" t="s">
        <v>43</v>
      </c>
      <c r="C395" s="82" t="s">
        <v>30</v>
      </c>
      <c r="D395" s="82" t="s">
        <v>732</v>
      </c>
      <c r="E395" s="82" t="s">
        <v>15</v>
      </c>
      <c r="F395" s="82" t="s">
        <v>11</v>
      </c>
      <c r="G395" s="266">
        <v>47.808169999999997</v>
      </c>
    </row>
    <row r="396" spans="1:7" s="81" customFormat="1" x14ac:dyDescent="0.25">
      <c r="A396" s="82" t="s">
        <v>519</v>
      </c>
      <c r="B396" s="82" t="s">
        <v>520</v>
      </c>
      <c r="C396" s="82" t="s">
        <v>80</v>
      </c>
      <c r="D396" s="82" t="s">
        <v>733</v>
      </c>
      <c r="E396" s="82" t="s">
        <v>15</v>
      </c>
      <c r="F396" s="82" t="s">
        <v>11</v>
      </c>
      <c r="G396" s="266">
        <v>126.01585</v>
      </c>
    </row>
    <row r="397" spans="1:7" s="28" customFormat="1" x14ac:dyDescent="0.25">
      <c r="A397" s="86" t="s">
        <v>521</v>
      </c>
      <c r="B397" s="86" t="s">
        <v>522</v>
      </c>
      <c r="C397" s="86" t="s">
        <v>27</v>
      </c>
      <c r="D397" s="86" t="s">
        <v>738</v>
      </c>
      <c r="E397" s="86" t="s">
        <v>726</v>
      </c>
      <c r="F397" s="86" t="s">
        <v>35</v>
      </c>
      <c r="G397" s="266">
        <v>113.169785</v>
      </c>
    </row>
    <row r="398" spans="1:7" s="81" customFormat="1" x14ac:dyDescent="0.25">
      <c r="A398" s="82" t="s">
        <v>523</v>
      </c>
      <c r="B398" s="82" t="s">
        <v>524</v>
      </c>
      <c r="C398" s="82" t="s">
        <v>46</v>
      </c>
      <c r="D398" s="82" t="s">
        <v>739</v>
      </c>
      <c r="E398" s="82" t="s">
        <v>727</v>
      </c>
      <c r="F398" s="82" t="s">
        <v>11</v>
      </c>
      <c r="G398" s="266">
        <v>0.52243779999999995</v>
      </c>
    </row>
    <row r="399" spans="1:7" s="182" customFormat="1" x14ac:dyDescent="0.25">
      <c r="A399" s="183" t="s">
        <v>458</v>
      </c>
      <c r="B399" s="183" t="s">
        <v>459</v>
      </c>
      <c r="C399" s="183" t="s">
        <v>63</v>
      </c>
      <c r="D399" s="183" t="s">
        <v>64</v>
      </c>
      <c r="E399" s="183" t="s">
        <v>727</v>
      </c>
      <c r="F399" s="183" t="s">
        <v>77</v>
      </c>
      <c r="G399" s="266">
        <v>0.39929323999999999</v>
      </c>
    </row>
    <row r="400" spans="1:7" s="81" customFormat="1" x14ac:dyDescent="0.25">
      <c r="A400" s="82" t="s">
        <v>525</v>
      </c>
      <c r="B400" s="82" t="s">
        <v>526</v>
      </c>
      <c r="C400" s="82" t="s">
        <v>63</v>
      </c>
      <c r="D400" s="82" t="s">
        <v>64</v>
      </c>
      <c r="E400" s="82" t="s">
        <v>728</v>
      </c>
      <c r="F400" s="82" t="s">
        <v>11</v>
      </c>
      <c r="G400" s="266">
        <v>52.700893000000001</v>
      </c>
    </row>
    <row r="401" spans="1:7" s="102" customFormat="1" x14ac:dyDescent="0.25">
      <c r="A401" s="103" t="s">
        <v>369</v>
      </c>
      <c r="B401" s="103" t="s">
        <v>370</v>
      </c>
      <c r="C401" s="103" t="s">
        <v>14</v>
      </c>
      <c r="D401" s="103" t="s">
        <v>740</v>
      </c>
      <c r="E401" s="103" t="s">
        <v>727</v>
      </c>
      <c r="F401" s="103" t="s">
        <v>741</v>
      </c>
      <c r="G401" s="266">
        <v>10.405861</v>
      </c>
    </row>
    <row r="402" spans="1:7" s="81" customFormat="1" x14ac:dyDescent="0.25">
      <c r="A402" s="82" t="s">
        <v>61</v>
      </c>
      <c r="B402" s="82" t="s">
        <v>62</v>
      </c>
      <c r="C402" s="82" t="s">
        <v>63</v>
      </c>
      <c r="D402" s="82" t="s">
        <v>64</v>
      </c>
      <c r="E402" s="82" t="s">
        <v>727</v>
      </c>
      <c r="F402" s="82" t="s">
        <v>11</v>
      </c>
      <c r="G402" s="266">
        <v>88.35866</v>
      </c>
    </row>
    <row r="403" spans="1:7" s="182" customFormat="1" x14ac:dyDescent="0.25">
      <c r="A403" s="183" t="s">
        <v>130</v>
      </c>
      <c r="B403" s="183" t="s">
        <v>131</v>
      </c>
      <c r="C403" s="183" t="s">
        <v>63</v>
      </c>
      <c r="D403" s="183" t="s">
        <v>64</v>
      </c>
      <c r="E403" s="183" t="s">
        <v>727</v>
      </c>
      <c r="F403" s="183" t="s">
        <v>77</v>
      </c>
      <c r="G403" s="266">
        <v>4.6970120000000004E-3</v>
      </c>
    </row>
    <row r="404" spans="1:7" s="81" customFormat="1" x14ac:dyDescent="0.25">
      <c r="A404" s="82" t="s">
        <v>53</v>
      </c>
      <c r="B404" s="82" t="s">
        <v>54</v>
      </c>
      <c r="C404" s="82" t="s">
        <v>30</v>
      </c>
      <c r="D404" s="82" t="s">
        <v>732</v>
      </c>
      <c r="E404" s="82" t="s">
        <v>728</v>
      </c>
      <c r="F404" s="82" t="s">
        <v>11</v>
      </c>
      <c r="G404" s="266">
        <v>38.303289999999997</v>
      </c>
    </row>
    <row r="405" spans="1:7" s="28" customFormat="1" x14ac:dyDescent="0.25">
      <c r="A405" s="86" t="s">
        <v>527</v>
      </c>
      <c r="B405" s="86" t="s">
        <v>528</v>
      </c>
      <c r="C405" s="86" t="s">
        <v>140</v>
      </c>
      <c r="D405" s="86" t="s">
        <v>734</v>
      </c>
      <c r="E405" s="86" t="s">
        <v>726</v>
      </c>
      <c r="F405" s="86" t="s">
        <v>35</v>
      </c>
      <c r="G405" s="266">
        <v>40.255516</v>
      </c>
    </row>
    <row r="406" spans="1:7" s="81" customFormat="1" x14ac:dyDescent="0.25">
      <c r="A406" s="82" t="s">
        <v>319</v>
      </c>
      <c r="B406" s="82" t="s">
        <v>320</v>
      </c>
      <c r="C406" s="82" t="s">
        <v>30</v>
      </c>
      <c r="D406" s="82" t="s">
        <v>732</v>
      </c>
      <c r="E406" s="82" t="s">
        <v>15</v>
      </c>
      <c r="F406" s="82" t="s">
        <v>11</v>
      </c>
      <c r="G406" s="266">
        <v>80.487365999999994</v>
      </c>
    </row>
    <row r="407" spans="1:7" s="81" customFormat="1" x14ac:dyDescent="0.25">
      <c r="A407" s="82" t="s">
        <v>277</v>
      </c>
      <c r="B407" s="82" t="s">
        <v>278</v>
      </c>
      <c r="C407" s="82" t="s">
        <v>46</v>
      </c>
      <c r="D407" s="82" t="s">
        <v>739</v>
      </c>
      <c r="E407" s="82" t="s">
        <v>728</v>
      </c>
      <c r="F407" s="82" t="s">
        <v>11</v>
      </c>
      <c r="G407" s="266">
        <v>16.155695000000001</v>
      </c>
    </row>
    <row r="408" spans="1:7" s="28" customFormat="1" x14ac:dyDescent="0.25">
      <c r="A408" s="86" t="s">
        <v>97</v>
      </c>
      <c r="B408" s="86" t="s">
        <v>98</v>
      </c>
      <c r="C408" s="86" t="s">
        <v>75</v>
      </c>
      <c r="D408" s="86" t="s">
        <v>76</v>
      </c>
      <c r="E408" s="86" t="s">
        <v>726</v>
      </c>
      <c r="F408" s="86" t="s">
        <v>35</v>
      </c>
      <c r="G408" s="266">
        <v>315.92322000000001</v>
      </c>
    </row>
    <row r="409" spans="1:7" s="102" customFormat="1" x14ac:dyDescent="0.25">
      <c r="A409" s="103" t="s">
        <v>401</v>
      </c>
      <c r="B409" s="103" t="s">
        <v>402</v>
      </c>
      <c r="C409" s="103" t="s">
        <v>14</v>
      </c>
      <c r="D409" s="103" t="s">
        <v>740</v>
      </c>
      <c r="E409" s="103" t="s">
        <v>15</v>
      </c>
      <c r="F409" s="103" t="s">
        <v>741</v>
      </c>
      <c r="G409" s="266">
        <v>9.1486990000000006</v>
      </c>
    </row>
    <row r="410" spans="1:7" s="81" customFormat="1" x14ac:dyDescent="0.25">
      <c r="A410" s="82" t="s">
        <v>472</v>
      </c>
      <c r="B410" s="82" t="s">
        <v>473</v>
      </c>
      <c r="C410" s="82" t="s">
        <v>14</v>
      </c>
      <c r="D410" s="82" t="s">
        <v>740</v>
      </c>
      <c r="E410" s="82" t="s">
        <v>727</v>
      </c>
      <c r="F410" s="82" t="s">
        <v>11</v>
      </c>
      <c r="G410" s="266">
        <v>97.745093999999995</v>
      </c>
    </row>
    <row r="411" spans="1:7" s="81" customFormat="1" x14ac:dyDescent="0.25">
      <c r="A411" s="82" t="s">
        <v>128</v>
      </c>
      <c r="B411" s="82" t="s">
        <v>129</v>
      </c>
      <c r="C411" s="82" t="s">
        <v>80</v>
      </c>
      <c r="D411" s="82" t="s">
        <v>733</v>
      </c>
      <c r="E411" s="82" t="s">
        <v>15</v>
      </c>
      <c r="F411" s="82" t="s">
        <v>11</v>
      </c>
      <c r="G411" s="266">
        <v>873.61774000000003</v>
      </c>
    </row>
    <row r="412" spans="1:7" s="81" customFormat="1" x14ac:dyDescent="0.25">
      <c r="A412" s="82" t="s">
        <v>243</v>
      </c>
      <c r="B412" s="82" t="s">
        <v>244</v>
      </c>
      <c r="C412" s="82" t="s">
        <v>46</v>
      </c>
      <c r="D412" s="82" t="s">
        <v>739</v>
      </c>
      <c r="E412" s="82" t="s">
        <v>727</v>
      </c>
      <c r="F412" s="82" t="s">
        <v>11</v>
      </c>
      <c r="G412" s="266">
        <v>0.12068046</v>
      </c>
    </row>
    <row r="413" spans="1:7" s="81" customFormat="1" x14ac:dyDescent="0.25">
      <c r="A413" s="82" t="s">
        <v>185</v>
      </c>
      <c r="B413" s="82" t="s">
        <v>186</v>
      </c>
      <c r="C413" s="82" t="s">
        <v>80</v>
      </c>
      <c r="D413" s="82" t="s">
        <v>733</v>
      </c>
      <c r="E413" s="82" t="s">
        <v>15</v>
      </c>
      <c r="F413" s="82" t="s">
        <v>11</v>
      </c>
      <c r="G413" s="266">
        <v>57.115090000000002</v>
      </c>
    </row>
    <row r="414" spans="1:7" s="81" customFormat="1" x14ac:dyDescent="0.25">
      <c r="A414" s="82" t="s">
        <v>293</v>
      </c>
      <c r="B414" s="82" t="s">
        <v>294</v>
      </c>
      <c r="C414" s="82" t="s">
        <v>63</v>
      </c>
      <c r="D414" s="82" t="s">
        <v>64</v>
      </c>
      <c r="E414" s="82" t="s">
        <v>728</v>
      </c>
      <c r="F414" s="82" t="s">
        <v>11</v>
      </c>
      <c r="G414" s="266">
        <v>30.267778</v>
      </c>
    </row>
    <row r="415" spans="1:7" s="81" customFormat="1" x14ac:dyDescent="0.25">
      <c r="A415" s="82" t="s">
        <v>305</v>
      </c>
      <c r="B415" s="82" t="s">
        <v>306</v>
      </c>
      <c r="C415" s="82" t="s">
        <v>80</v>
      </c>
      <c r="D415" s="82" t="s">
        <v>733</v>
      </c>
      <c r="E415" s="82" t="s">
        <v>728</v>
      </c>
      <c r="F415" s="82" t="s">
        <v>11</v>
      </c>
      <c r="G415" s="266">
        <v>114.24285999999999</v>
      </c>
    </row>
    <row r="416" spans="1:7" s="81" customFormat="1" x14ac:dyDescent="0.25">
      <c r="A416" s="82" t="s">
        <v>529</v>
      </c>
      <c r="B416" s="82" t="s">
        <v>530</v>
      </c>
      <c r="C416" s="82" t="s">
        <v>80</v>
      </c>
      <c r="D416" s="82" t="s">
        <v>733</v>
      </c>
      <c r="E416" s="82" t="s">
        <v>728</v>
      </c>
      <c r="F416" s="82" t="s">
        <v>11</v>
      </c>
      <c r="G416" s="266">
        <v>11.539323</v>
      </c>
    </row>
    <row r="417" spans="1:8" s="81" customFormat="1" x14ac:dyDescent="0.25">
      <c r="A417" s="82" t="s">
        <v>132</v>
      </c>
      <c r="B417" s="82" t="s">
        <v>133</v>
      </c>
      <c r="C417" s="82" t="s">
        <v>30</v>
      </c>
      <c r="D417" s="82" t="s">
        <v>732</v>
      </c>
      <c r="E417" s="82" t="s">
        <v>15</v>
      </c>
      <c r="F417" s="82" t="s">
        <v>11</v>
      </c>
      <c r="G417" s="266">
        <v>75.420330000000007</v>
      </c>
    </row>
    <row r="418" spans="1:8" s="81" customFormat="1" x14ac:dyDescent="0.25">
      <c r="A418" s="82" t="s">
        <v>69</v>
      </c>
      <c r="B418" s="82" t="s">
        <v>70</v>
      </c>
      <c r="C418" s="82" t="s">
        <v>14</v>
      </c>
      <c r="D418" s="82" t="s">
        <v>740</v>
      </c>
      <c r="E418" s="82" t="s">
        <v>727</v>
      </c>
      <c r="F418" s="82" t="s">
        <v>11</v>
      </c>
      <c r="G418" s="266">
        <v>29.817936</v>
      </c>
    </row>
    <row r="419" spans="1:8" s="81" customFormat="1" x14ac:dyDescent="0.25">
      <c r="A419" s="82" t="s">
        <v>531</v>
      </c>
      <c r="B419" s="82" t="s">
        <v>532</v>
      </c>
      <c r="C419" s="82" t="s">
        <v>24</v>
      </c>
      <c r="D419" s="82" t="s">
        <v>735</v>
      </c>
      <c r="E419" s="82" t="s">
        <v>15</v>
      </c>
      <c r="F419" s="82" t="s">
        <v>11</v>
      </c>
      <c r="G419" s="266">
        <v>96.426024999999996</v>
      </c>
    </row>
    <row r="420" spans="1:8" s="81" customFormat="1" x14ac:dyDescent="0.25">
      <c r="A420" s="82" t="s">
        <v>303</v>
      </c>
      <c r="B420" s="82" t="s">
        <v>304</v>
      </c>
      <c r="C420" s="82" t="s">
        <v>30</v>
      </c>
      <c r="D420" s="82" t="s">
        <v>732</v>
      </c>
      <c r="E420" s="82" t="s">
        <v>15</v>
      </c>
      <c r="F420" s="82" t="s">
        <v>11</v>
      </c>
      <c r="G420" s="266">
        <v>47.348059999999997</v>
      </c>
    </row>
    <row r="421" spans="1:8" s="182" customFormat="1" x14ac:dyDescent="0.25">
      <c r="A421" s="183" t="s">
        <v>237</v>
      </c>
      <c r="B421" s="183" t="s">
        <v>238</v>
      </c>
      <c r="C421" s="183" t="s">
        <v>63</v>
      </c>
      <c r="D421" s="183" t="s">
        <v>64</v>
      </c>
      <c r="E421" s="183" t="s">
        <v>15</v>
      </c>
      <c r="F421" s="183" t="s">
        <v>77</v>
      </c>
      <c r="G421" s="266">
        <v>173.97395</v>
      </c>
      <c r="H421" s="184"/>
    </row>
    <row r="422" spans="1:8" s="81" customFormat="1" x14ac:dyDescent="0.25">
      <c r="A422" s="82" t="s">
        <v>515</v>
      </c>
      <c r="B422" s="82" t="s">
        <v>516</v>
      </c>
      <c r="C422" s="82" t="s">
        <v>27</v>
      </c>
      <c r="D422" s="82" t="s">
        <v>738</v>
      </c>
      <c r="E422" s="82" t="s">
        <v>727</v>
      </c>
      <c r="F422" s="82" t="s">
        <v>11</v>
      </c>
      <c r="G422" s="266">
        <v>2.1561539999999999</v>
      </c>
    </row>
    <row r="423" spans="1:8" s="81" customFormat="1" x14ac:dyDescent="0.25">
      <c r="A423" s="82" t="s">
        <v>253</v>
      </c>
      <c r="B423" s="82" t="s">
        <v>254</v>
      </c>
      <c r="C423" s="82" t="s">
        <v>30</v>
      </c>
      <c r="D423" s="82" t="s">
        <v>732</v>
      </c>
      <c r="E423" s="82" t="s">
        <v>727</v>
      </c>
      <c r="F423" s="82" t="s">
        <v>11</v>
      </c>
      <c r="G423" s="266">
        <v>4.0939918000000004</v>
      </c>
    </row>
    <row r="424" spans="1:8" s="81" customFormat="1" x14ac:dyDescent="0.25">
      <c r="A424" s="82" t="s">
        <v>44</v>
      </c>
      <c r="B424" s="82" t="s">
        <v>45</v>
      </c>
      <c r="C424" s="82" t="s">
        <v>46</v>
      </c>
      <c r="D424" s="82" t="s">
        <v>739</v>
      </c>
      <c r="E424" s="82" t="s">
        <v>728</v>
      </c>
      <c r="F424" s="82" t="s">
        <v>11</v>
      </c>
      <c r="G424" s="266">
        <v>266.05878000000001</v>
      </c>
    </row>
    <row r="425" spans="1:8" s="81" customFormat="1" x14ac:dyDescent="0.25">
      <c r="A425" s="82" t="s">
        <v>333</v>
      </c>
      <c r="B425" s="82" t="s">
        <v>334</v>
      </c>
      <c r="C425" s="82" t="s">
        <v>75</v>
      </c>
      <c r="D425" s="82" t="s">
        <v>76</v>
      </c>
      <c r="E425" s="82" t="s">
        <v>727</v>
      </c>
      <c r="F425" s="82" t="s">
        <v>11</v>
      </c>
      <c r="G425" s="266">
        <v>211.37306000000001</v>
      </c>
    </row>
    <row r="426" spans="1:8" s="102" customFormat="1" x14ac:dyDescent="0.25">
      <c r="A426" s="103" t="s">
        <v>369</v>
      </c>
      <c r="B426" s="103" t="s">
        <v>370</v>
      </c>
      <c r="C426" s="103" t="s">
        <v>14</v>
      </c>
      <c r="D426" s="103" t="s">
        <v>740</v>
      </c>
      <c r="E426" s="103" t="s">
        <v>728</v>
      </c>
      <c r="F426" s="103" t="s">
        <v>741</v>
      </c>
      <c r="G426" s="266">
        <v>16.670850000000002</v>
      </c>
    </row>
    <row r="427" spans="1:8" s="81" customFormat="1" x14ac:dyDescent="0.25">
      <c r="A427" s="82" t="s">
        <v>255</v>
      </c>
      <c r="B427" s="82" t="s">
        <v>256</v>
      </c>
      <c r="C427" s="82" t="s">
        <v>30</v>
      </c>
      <c r="D427" s="82" t="s">
        <v>732</v>
      </c>
      <c r="E427" s="82" t="s">
        <v>15</v>
      </c>
      <c r="F427" s="82" t="s">
        <v>11</v>
      </c>
      <c r="G427" s="266">
        <v>66.8874</v>
      </c>
    </row>
    <row r="428" spans="1:8" s="81" customFormat="1" x14ac:dyDescent="0.25">
      <c r="A428" s="82" t="s">
        <v>7</v>
      </c>
      <c r="B428" s="82" t="s">
        <v>8</v>
      </c>
      <c r="C428" s="82" t="s">
        <v>9</v>
      </c>
      <c r="D428" s="82" t="s">
        <v>10</v>
      </c>
      <c r="E428" s="82" t="s">
        <v>15</v>
      </c>
      <c r="F428" s="82" t="s">
        <v>11</v>
      </c>
      <c r="G428" s="266">
        <v>209.56524999999999</v>
      </c>
    </row>
    <row r="429" spans="1:8" s="81" customFormat="1" x14ac:dyDescent="0.25">
      <c r="A429" s="82" t="s">
        <v>460</v>
      </c>
      <c r="B429" s="82" t="s">
        <v>461</v>
      </c>
      <c r="C429" s="82" t="s">
        <v>30</v>
      </c>
      <c r="D429" s="82" t="s">
        <v>732</v>
      </c>
      <c r="E429" s="82" t="s">
        <v>728</v>
      </c>
      <c r="F429" s="82" t="s">
        <v>11</v>
      </c>
      <c r="G429" s="266">
        <v>32.158239999999999</v>
      </c>
    </row>
    <row r="430" spans="1:8" s="28" customFormat="1" x14ac:dyDescent="0.25">
      <c r="A430" s="86" t="s">
        <v>533</v>
      </c>
      <c r="B430" s="86" t="s">
        <v>534</v>
      </c>
      <c r="C430" s="86" t="s">
        <v>411</v>
      </c>
      <c r="D430" s="86" t="s">
        <v>737</v>
      </c>
      <c r="E430" s="86" t="s">
        <v>726</v>
      </c>
      <c r="F430" s="86" t="s">
        <v>35</v>
      </c>
      <c r="G430" s="266">
        <v>31.474567</v>
      </c>
    </row>
    <row r="431" spans="1:8" s="28" customFormat="1" x14ac:dyDescent="0.25">
      <c r="A431" s="86" t="s">
        <v>535</v>
      </c>
      <c r="B431" s="86" t="s">
        <v>536</v>
      </c>
      <c r="C431" s="86" t="s">
        <v>502</v>
      </c>
      <c r="D431" s="86" t="s">
        <v>736</v>
      </c>
      <c r="E431" s="86" t="s">
        <v>726</v>
      </c>
      <c r="F431" s="86" t="s">
        <v>35</v>
      </c>
      <c r="G431" s="266">
        <v>20.373719999999999</v>
      </c>
    </row>
    <row r="432" spans="1:8" s="81" customFormat="1" x14ac:dyDescent="0.25">
      <c r="A432" s="82" t="s">
        <v>343</v>
      </c>
      <c r="B432" s="82" t="s">
        <v>344</v>
      </c>
      <c r="C432" s="82" t="s">
        <v>227</v>
      </c>
      <c r="D432" s="82" t="s">
        <v>228</v>
      </c>
      <c r="E432" s="82" t="s">
        <v>15</v>
      </c>
      <c r="F432" s="82" t="s">
        <v>11</v>
      </c>
      <c r="G432" s="266">
        <v>4961.5063</v>
      </c>
    </row>
    <row r="433" spans="1:7" s="81" customFormat="1" x14ac:dyDescent="0.25">
      <c r="A433" s="82" t="s">
        <v>191</v>
      </c>
      <c r="B433" s="82" t="s">
        <v>192</v>
      </c>
      <c r="C433" s="82" t="s">
        <v>75</v>
      </c>
      <c r="D433" s="82" t="s">
        <v>76</v>
      </c>
      <c r="E433" s="82" t="s">
        <v>728</v>
      </c>
      <c r="F433" s="82" t="s">
        <v>11</v>
      </c>
      <c r="G433" s="266">
        <v>104.15638</v>
      </c>
    </row>
    <row r="434" spans="1:7" s="81" customFormat="1" x14ac:dyDescent="0.25">
      <c r="A434" s="82" t="s">
        <v>255</v>
      </c>
      <c r="B434" s="82" t="s">
        <v>256</v>
      </c>
      <c r="C434" s="82" t="s">
        <v>30</v>
      </c>
      <c r="D434" s="82" t="s">
        <v>732</v>
      </c>
      <c r="E434" s="82" t="s">
        <v>728</v>
      </c>
      <c r="F434" s="82" t="s">
        <v>11</v>
      </c>
      <c r="G434" s="266">
        <v>139.67304999999999</v>
      </c>
    </row>
    <row r="435" spans="1:7" s="81" customFormat="1" x14ac:dyDescent="0.25">
      <c r="A435" s="82" t="s">
        <v>67</v>
      </c>
      <c r="B435" s="82" t="s">
        <v>68</v>
      </c>
      <c r="C435" s="82" t="s">
        <v>30</v>
      </c>
      <c r="D435" s="82" t="s">
        <v>732</v>
      </c>
      <c r="E435" s="82" t="s">
        <v>728</v>
      </c>
      <c r="F435" s="82" t="s">
        <v>11</v>
      </c>
      <c r="G435" s="266">
        <v>155.52744999999999</v>
      </c>
    </row>
    <row r="436" spans="1:7" s="81" customFormat="1" x14ac:dyDescent="0.25">
      <c r="A436" s="82" t="s">
        <v>442</v>
      </c>
      <c r="B436" s="82" t="s">
        <v>443</v>
      </c>
      <c r="C436" s="82" t="s">
        <v>14</v>
      </c>
      <c r="D436" s="82" t="s">
        <v>740</v>
      </c>
      <c r="E436" s="82" t="s">
        <v>728</v>
      </c>
      <c r="F436" s="82" t="s">
        <v>11</v>
      </c>
      <c r="G436" s="266">
        <v>75.955539999999999</v>
      </c>
    </row>
    <row r="437" spans="1:7" s="81" customFormat="1" x14ac:dyDescent="0.25">
      <c r="A437" s="82" t="s">
        <v>480</v>
      </c>
      <c r="B437" s="82" t="s">
        <v>481</v>
      </c>
      <c r="C437" s="82" t="s">
        <v>63</v>
      </c>
      <c r="D437" s="82" t="s">
        <v>64</v>
      </c>
      <c r="E437" s="82" t="s">
        <v>15</v>
      </c>
      <c r="F437" s="82" t="s">
        <v>11</v>
      </c>
      <c r="G437" s="266">
        <v>205.5052</v>
      </c>
    </row>
    <row r="438" spans="1:7" s="81" customFormat="1" x14ac:dyDescent="0.25">
      <c r="A438" s="82" t="s">
        <v>517</v>
      </c>
      <c r="B438" s="82" t="s">
        <v>518</v>
      </c>
      <c r="C438" s="82" t="s">
        <v>24</v>
      </c>
      <c r="D438" s="82" t="s">
        <v>735</v>
      </c>
      <c r="E438" s="82" t="s">
        <v>727</v>
      </c>
      <c r="F438" s="82" t="s">
        <v>11</v>
      </c>
      <c r="G438" s="266">
        <v>7.4661819999999999</v>
      </c>
    </row>
    <row r="439" spans="1:7" s="28" customFormat="1" x14ac:dyDescent="0.25">
      <c r="A439" s="86" t="s">
        <v>537</v>
      </c>
      <c r="B439" s="86" t="s">
        <v>538</v>
      </c>
      <c r="C439" s="86" t="s">
        <v>63</v>
      </c>
      <c r="D439" s="86" t="s">
        <v>64</v>
      </c>
      <c r="E439" s="86" t="s">
        <v>726</v>
      </c>
      <c r="F439" s="86" t="s">
        <v>35</v>
      </c>
      <c r="G439" s="266">
        <v>292.99747000000002</v>
      </c>
    </row>
    <row r="440" spans="1:7" s="81" customFormat="1" x14ac:dyDescent="0.25">
      <c r="A440" s="82" t="s">
        <v>476</v>
      </c>
      <c r="B440" s="82" t="s">
        <v>477</v>
      </c>
      <c r="C440" s="82" t="s">
        <v>18</v>
      </c>
      <c r="D440" s="82" t="s">
        <v>19</v>
      </c>
      <c r="E440" s="82" t="s">
        <v>727</v>
      </c>
      <c r="F440" s="82" t="s">
        <v>11</v>
      </c>
      <c r="G440" s="266">
        <v>123.623215</v>
      </c>
    </row>
    <row r="441" spans="1:7" s="81" customFormat="1" x14ac:dyDescent="0.25">
      <c r="A441" s="82" t="s">
        <v>215</v>
      </c>
      <c r="B441" s="82" t="s">
        <v>216</v>
      </c>
      <c r="C441" s="82" t="s">
        <v>63</v>
      </c>
      <c r="D441" s="82" t="s">
        <v>64</v>
      </c>
      <c r="E441" s="82" t="s">
        <v>728</v>
      </c>
      <c r="F441" s="82" t="s">
        <v>11</v>
      </c>
      <c r="G441" s="266">
        <v>29.178152000000001</v>
      </c>
    </row>
    <row r="442" spans="1:7" s="81" customFormat="1" x14ac:dyDescent="0.25">
      <c r="A442" s="82" t="s">
        <v>539</v>
      </c>
      <c r="B442" s="82" t="s">
        <v>540</v>
      </c>
      <c r="C442" s="82" t="s">
        <v>24</v>
      </c>
      <c r="D442" s="82" t="s">
        <v>735</v>
      </c>
      <c r="E442" s="82" t="s">
        <v>15</v>
      </c>
      <c r="F442" s="82" t="s">
        <v>11</v>
      </c>
      <c r="G442" s="266">
        <v>210.25237999999999</v>
      </c>
    </row>
    <row r="443" spans="1:7" s="81" customFormat="1" x14ac:dyDescent="0.25">
      <c r="A443" s="82" t="s">
        <v>355</v>
      </c>
      <c r="B443" s="82" t="s">
        <v>356</v>
      </c>
      <c r="C443" s="82" t="s">
        <v>30</v>
      </c>
      <c r="D443" s="82" t="s">
        <v>732</v>
      </c>
      <c r="E443" s="82" t="s">
        <v>727</v>
      </c>
      <c r="F443" s="82" t="s">
        <v>11</v>
      </c>
      <c r="G443" s="266">
        <v>46.02664</v>
      </c>
    </row>
    <row r="444" spans="1:7" s="81" customFormat="1" x14ac:dyDescent="0.25">
      <c r="A444" s="82" t="s">
        <v>61</v>
      </c>
      <c r="B444" s="82" t="s">
        <v>62</v>
      </c>
      <c r="C444" s="82" t="s">
        <v>63</v>
      </c>
      <c r="D444" s="82" t="s">
        <v>64</v>
      </c>
      <c r="E444" s="82" t="s">
        <v>728</v>
      </c>
      <c r="F444" s="82" t="s">
        <v>11</v>
      </c>
      <c r="G444" s="266">
        <v>33.321593999999997</v>
      </c>
    </row>
    <row r="445" spans="1:7" s="81" customFormat="1" x14ac:dyDescent="0.25">
      <c r="A445" s="82" t="s">
        <v>233</v>
      </c>
      <c r="B445" s="82" t="s">
        <v>234</v>
      </c>
      <c r="C445" s="82" t="s">
        <v>80</v>
      </c>
      <c r="D445" s="82" t="s">
        <v>733</v>
      </c>
      <c r="E445" s="82" t="s">
        <v>15</v>
      </c>
      <c r="F445" s="82" t="s">
        <v>11</v>
      </c>
      <c r="G445" s="266">
        <v>53.977035999999998</v>
      </c>
    </row>
    <row r="446" spans="1:7" s="81" customFormat="1" x14ac:dyDescent="0.25">
      <c r="A446" s="82" t="s">
        <v>478</v>
      </c>
      <c r="B446" s="82" t="s">
        <v>479</v>
      </c>
      <c r="C446" s="82" t="s">
        <v>80</v>
      </c>
      <c r="D446" s="82" t="s">
        <v>733</v>
      </c>
      <c r="E446" s="82" t="s">
        <v>727</v>
      </c>
      <c r="F446" s="82" t="s">
        <v>11</v>
      </c>
      <c r="G446" s="266">
        <v>26.446480000000001</v>
      </c>
    </row>
    <row r="447" spans="1:7" s="81" customFormat="1" x14ac:dyDescent="0.25">
      <c r="A447" s="82" t="s">
        <v>503</v>
      </c>
      <c r="B447" s="82" t="s">
        <v>504</v>
      </c>
      <c r="C447" s="82" t="s">
        <v>63</v>
      </c>
      <c r="D447" s="82" t="s">
        <v>64</v>
      </c>
      <c r="E447" s="82" t="s">
        <v>728</v>
      </c>
      <c r="F447" s="82" t="s">
        <v>11</v>
      </c>
      <c r="G447" s="266">
        <v>15.662625999999999</v>
      </c>
    </row>
    <row r="448" spans="1:7" s="81" customFormat="1" x14ac:dyDescent="0.25">
      <c r="A448" s="82" t="s">
        <v>405</v>
      </c>
      <c r="B448" s="82" t="s">
        <v>406</v>
      </c>
      <c r="C448" s="82" t="s">
        <v>30</v>
      </c>
      <c r="D448" s="82" t="s">
        <v>732</v>
      </c>
      <c r="E448" s="82" t="s">
        <v>728</v>
      </c>
      <c r="F448" s="82" t="s">
        <v>11</v>
      </c>
      <c r="G448" s="266">
        <v>27.138636000000002</v>
      </c>
    </row>
    <row r="449" spans="1:8" s="129" customFormat="1" x14ac:dyDescent="0.25">
      <c r="A449" s="130" t="s">
        <v>122</v>
      </c>
      <c r="B449" s="130" t="s">
        <v>123</v>
      </c>
      <c r="C449" s="130" t="s">
        <v>30</v>
      </c>
      <c r="D449" s="130" t="s">
        <v>732</v>
      </c>
      <c r="E449" s="130" t="s">
        <v>727</v>
      </c>
      <c r="F449" s="130" t="s">
        <v>11</v>
      </c>
      <c r="G449" s="266">
        <v>4.3459050000000001</v>
      </c>
      <c r="H449" s="131"/>
    </row>
    <row r="450" spans="1:8" s="81" customFormat="1" x14ac:dyDescent="0.25">
      <c r="A450" s="82" t="s">
        <v>59</v>
      </c>
      <c r="B450" s="82" t="s">
        <v>60</v>
      </c>
      <c r="C450" s="82" t="s">
        <v>9</v>
      </c>
      <c r="D450" s="82" t="s">
        <v>10</v>
      </c>
      <c r="E450" s="82" t="s">
        <v>728</v>
      </c>
      <c r="F450" s="82" t="s">
        <v>11</v>
      </c>
      <c r="G450" s="266">
        <v>247.1644</v>
      </c>
    </row>
    <row r="451" spans="1:8" s="81" customFormat="1" x14ac:dyDescent="0.25">
      <c r="A451" s="82" t="s">
        <v>267</v>
      </c>
      <c r="B451" s="82" t="s">
        <v>268</v>
      </c>
      <c r="C451" s="82" t="s">
        <v>14</v>
      </c>
      <c r="D451" s="82" t="s">
        <v>740</v>
      </c>
      <c r="E451" s="82" t="s">
        <v>728</v>
      </c>
      <c r="F451" s="82" t="s">
        <v>11</v>
      </c>
      <c r="G451" s="266">
        <v>11.053347</v>
      </c>
    </row>
    <row r="452" spans="1:8" s="28" customFormat="1" x14ac:dyDescent="0.25">
      <c r="A452" s="86" t="s">
        <v>541</v>
      </c>
      <c r="B452" s="86" t="s">
        <v>542</v>
      </c>
      <c r="C452" s="86" t="s">
        <v>30</v>
      </c>
      <c r="D452" s="86" t="s">
        <v>732</v>
      </c>
      <c r="E452" s="86" t="s">
        <v>726</v>
      </c>
      <c r="F452" s="86" t="s">
        <v>35</v>
      </c>
      <c r="G452" s="266">
        <v>50.405729999999998</v>
      </c>
    </row>
    <row r="453" spans="1:8" s="28" customFormat="1" x14ac:dyDescent="0.25">
      <c r="A453" s="86" t="s">
        <v>543</v>
      </c>
      <c r="B453" s="86" t="s">
        <v>544</v>
      </c>
      <c r="C453" s="86" t="s">
        <v>140</v>
      </c>
      <c r="D453" s="86" t="s">
        <v>734</v>
      </c>
      <c r="E453" s="86" t="s">
        <v>726</v>
      </c>
      <c r="F453" s="86" t="s">
        <v>35</v>
      </c>
      <c r="G453" s="266">
        <v>0.7041927</v>
      </c>
    </row>
    <row r="454" spans="1:8" s="81" customFormat="1" x14ac:dyDescent="0.25">
      <c r="A454" s="82" t="s">
        <v>525</v>
      </c>
      <c r="B454" s="82" t="s">
        <v>526</v>
      </c>
      <c r="C454" s="82" t="s">
        <v>63</v>
      </c>
      <c r="D454" s="82" t="s">
        <v>64</v>
      </c>
      <c r="E454" s="82" t="s">
        <v>15</v>
      </c>
      <c r="F454" s="82" t="s">
        <v>11</v>
      </c>
      <c r="G454" s="266">
        <v>307.04187000000002</v>
      </c>
    </row>
    <row r="455" spans="1:8" s="28" customFormat="1" x14ac:dyDescent="0.25">
      <c r="A455" s="86" t="s">
        <v>545</v>
      </c>
      <c r="B455" s="86" t="s">
        <v>546</v>
      </c>
      <c r="C455" s="86" t="s">
        <v>27</v>
      </c>
      <c r="D455" s="86" t="s">
        <v>738</v>
      </c>
      <c r="E455" s="86" t="s">
        <v>726</v>
      </c>
      <c r="F455" s="86" t="s">
        <v>35</v>
      </c>
      <c r="G455" s="266">
        <v>268.44794000000002</v>
      </c>
    </row>
    <row r="456" spans="1:8" s="81" customFormat="1" x14ac:dyDescent="0.25">
      <c r="A456" s="82" t="s">
        <v>44</v>
      </c>
      <c r="B456" s="82" t="s">
        <v>45</v>
      </c>
      <c r="C456" s="82" t="s">
        <v>46</v>
      </c>
      <c r="D456" s="82" t="s">
        <v>739</v>
      </c>
      <c r="E456" s="82" t="s">
        <v>727</v>
      </c>
      <c r="F456" s="82" t="s">
        <v>11</v>
      </c>
      <c r="G456" s="266">
        <v>315.63213999999999</v>
      </c>
    </row>
    <row r="457" spans="1:8" s="81" customFormat="1" x14ac:dyDescent="0.25">
      <c r="A457" s="82" t="s">
        <v>291</v>
      </c>
      <c r="B457" s="82" t="s">
        <v>292</v>
      </c>
      <c r="C457" s="82" t="s">
        <v>24</v>
      </c>
      <c r="D457" s="82" t="s">
        <v>735</v>
      </c>
      <c r="E457" s="82" t="s">
        <v>728</v>
      </c>
      <c r="F457" s="82" t="s">
        <v>11</v>
      </c>
      <c r="G457" s="266">
        <v>59.448419999999999</v>
      </c>
    </row>
    <row r="458" spans="1:8" s="129" customFormat="1" x14ac:dyDescent="0.25">
      <c r="A458" s="130" t="s">
        <v>273</v>
      </c>
      <c r="B458" s="130" t="s">
        <v>274</v>
      </c>
      <c r="C458" s="130" t="s">
        <v>80</v>
      </c>
      <c r="D458" s="130" t="s">
        <v>733</v>
      </c>
      <c r="E458" s="130" t="s">
        <v>727</v>
      </c>
      <c r="F458" s="130" t="s">
        <v>11</v>
      </c>
      <c r="G458" s="266">
        <v>0.70505404000000005</v>
      </c>
      <c r="H458" s="131"/>
    </row>
    <row r="459" spans="1:8" s="129" customFormat="1" x14ac:dyDescent="0.25">
      <c r="A459" s="130" t="s">
        <v>547</v>
      </c>
      <c r="B459" s="130" t="s">
        <v>548</v>
      </c>
      <c r="C459" s="130" t="s">
        <v>14</v>
      </c>
      <c r="D459" s="130" t="s">
        <v>740</v>
      </c>
      <c r="E459" s="130" t="s">
        <v>15</v>
      </c>
      <c r="F459" s="130" t="s">
        <v>11</v>
      </c>
      <c r="G459" s="266">
        <v>30.821822999999998</v>
      </c>
    </row>
    <row r="460" spans="1:8" s="81" customFormat="1" x14ac:dyDescent="0.25">
      <c r="A460" s="82" t="s">
        <v>519</v>
      </c>
      <c r="B460" s="82" t="s">
        <v>520</v>
      </c>
      <c r="C460" s="82" t="s">
        <v>80</v>
      </c>
      <c r="D460" s="82" t="s">
        <v>733</v>
      </c>
      <c r="E460" s="82" t="s">
        <v>728</v>
      </c>
      <c r="F460" s="82" t="s">
        <v>11</v>
      </c>
      <c r="G460" s="266">
        <v>51.391419999999997</v>
      </c>
    </row>
    <row r="461" spans="1:8" s="81" customFormat="1" x14ac:dyDescent="0.25">
      <c r="A461" s="82" t="s">
        <v>219</v>
      </c>
      <c r="B461" s="82" t="s">
        <v>220</v>
      </c>
      <c r="C461" s="82" t="s">
        <v>80</v>
      </c>
      <c r="D461" s="82" t="s">
        <v>733</v>
      </c>
      <c r="E461" s="82" t="s">
        <v>15</v>
      </c>
      <c r="F461" s="82" t="s">
        <v>11</v>
      </c>
      <c r="G461" s="266">
        <v>513.29079999999999</v>
      </c>
    </row>
    <row r="462" spans="1:8" s="81" customFormat="1" x14ac:dyDescent="0.25">
      <c r="A462" s="82" t="s">
        <v>341</v>
      </c>
      <c r="B462" s="82" t="s">
        <v>342</v>
      </c>
      <c r="C462" s="82" t="s">
        <v>9</v>
      </c>
      <c r="D462" s="82" t="s">
        <v>10</v>
      </c>
      <c r="E462" s="82" t="s">
        <v>15</v>
      </c>
      <c r="F462" s="82" t="s">
        <v>11</v>
      </c>
      <c r="G462" s="266">
        <v>37.375053000000001</v>
      </c>
    </row>
    <row r="463" spans="1:8" s="81" customFormat="1" x14ac:dyDescent="0.25">
      <c r="A463" s="82" t="s">
        <v>265</v>
      </c>
      <c r="B463" s="82" t="s">
        <v>266</v>
      </c>
      <c r="C463" s="82" t="s">
        <v>63</v>
      </c>
      <c r="D463" s="82" t="s">
        <v>64</v>
      </c>
      <c r="E463" s="82" t="s">
        <v>728</v>
      </c>
      <c r="F463" s="82" t="s">
        <v>11</v>
      </c>
      <c r="G463" s="266">
        <v>3.0755083999999999</v>
      </c>
    </row>
    <row r="464" spans="1:8" s="28" customFormat="1" x14ac:dyDescent="0.25">
      <c r="A464" s="86" t="s">
        <v>549</v>
      </c>
      <c r="B464" s="86" t="s">
        <v>550</v>
      </c>
      <c r="C464" s="86" t="s">
        <v>63</v>
      </c>
      <c r="D464" s="86" t="s">
        <v>64</v>
      </c>
      <c r="E464" s="86" t="s">
        <v>726</v>
      </c>
      <c r="F464" s="86" t="s">
        <v>35</v>
      </c>
      <c r="G464" s="266">
        <v>374.11383000000001</v>
      </c>
    </row>
    <row r="465" spans="1:8" s="102" customFormat="1" x14ac:dyDescent="0.25">
      <c r="A465" s="103" t="s">
        <v>391</v>
      </c>
      <c r="B465" s="103" t="s">
        <v>392</v>
      </c>
      <c r="C465" s="103" t="s">
        <v>14</v>
      </c>
      <c r="D465" s="103" t="s">
        <v>740</v>
      </c>
      <c r="E465" s="103" t="s">
        <v>15</v>
      </c>
      <c r="F465" s="103" t="s">
        <v>741</v>
      </c>
      <c r="G465" s="266">
        <v>34.298682999999997</v>
      </c>
    </row>
    <row r="466" spans="1:8" s="129" customFormat="1" x14ac:dyDescent="0.25">
      <c r="A466" s="130" t="s">
        <v>551</v>
      </c>
      <c r="B466" s="130" t="s">
        <v>552</v>
      </c>
      <c r="C466" s="130" t="s">
        <v>30</v>
      </c>
      <c r="D466" s="130" t="s">
        <v>732</v>
      </c>
      <c r="E466" s="130" t="s">
        <v>15</v>
      </c>
      <c r="F466" s="130" t="s">
        <v>11</v>
      </c>
      <c r="G466" s="266">
        <v>372.93646000000001</v>
      </c>
    </row>
    <row r="467" spans="1:8" s="81" customFormat="1" x14ac:dyDescent="0.25">
      <c r="A467" s="82" t="s">
        <v>289</v>
      </c>
      <c r="B467" s="82" t="s">
        <v>290</v>
      </c>
      <c r="C467" s="82" t="s">
        <v>63</v>
      </c>
      <c r="D467" s="82" t="s">
        <v>64</v>
      </c>
      <c r="E467" s="82" t="s">
        <v>728</v>
      </c>
      <c r="F467" s="82" t="s">
        <v>11</v>
      </c>
      <c r="G467" s="266">
        <v>24.062593</v>
      </c>
    </row>
    <row r="468" spans="1:8" s="129" customFormat="1" x14ac:dyDescent="0.25">
      <c r="A468" s="130" t="s">
        <v>78</v>
      </c>
      <c r="B468" s="130" t="s">
        <v>79</v>
      </c>
      <c r="C468" s="130" t="s">
        <v>80</v>
      </c>
      <c r="D468" s="130" t="s">
        <v>733</v>
      </c>
      <c r="E468" s="130" t="s">
        <v>15</v>
      </c>
      <c r="F468" s="130" t="s">
        <v>11</v>
      </c>
      <c r="G468" s="266">
        <v>305.15775000000002</v>
      </c>
      <c r="H468" s="131"/>
    </row>
    <row r="469" spans="1:8" s="81" customFormat="1" x14ac:dyDescent="0.25">
      <c r="A469" s="82" t="s">
        <v>51</v>
      </c>
      <c r="B469" s="82" t="s">
        <v>52</v>
      </c>
      <c r="C469" s="82" t="s">
        <v>14</v>
      </c>
      <c r="D469" s="82" t="s">
        <v>740</v>
      </c>
      <c r="E469" s="82" t="s">
        <v>727</v>
      </c>
      <c r="F469" s="82" t="s">
        <v>11</v>
      </c>
      <c r="G469" s="266">
        <v>81.988150000000005</v>
      </c>
    </row>
    <row r="470" spans="1:8" s="81" customFormat="1" x14ac:dyDescent="0.25">
      <c r="A470" s="82" t="s">
        <v>422</v>
      </c>
      <c r="B470" s="82" t="s">
        <v>423</v>
      </c>
      <c r="C470" s="82" t="s">
        <v>63</v>
      </c>
      <c r="D470" s="82" t="s">
        <v>64</v>
      </c>
      <c r="E470" s="82" t="s">
        <v>727</v>
      </c>
      <c r="F470" s="82" t="s">
        <v>11</v>
      </c>
      <c r="G470" s="266">
        <v>37.563904000000001</v>
      </c>
    </row>
    <row r="471" spans="1:8" s="81" customFormat="1" x14ac:dyDescent="0.25">
      <c r="A471" s="82" t="s">
        <v>331</v>
      </c>
      <c r="B471" s="82" t="s">
        <v>332</v>
      </c>
      <c r="C471" s="82" t="s">
        <v>18</v>
      </c>
      <c r="D471" s="82" t="s">
        <v>19</v>
      </c>
      <c r="E471" s="82" t="s">
        <v>15</v>
      </c>
      <c r="F471" s="82" t="s">
        <v>11</v>
      </c>
      <c r="G471" s="266">
        <v>226.22897</v>
      </c>
    </row>
    <row r="472" spans="1:8" s="149" customFormat="1" x14ac:dyDescent="0.25">
      <c r="A472" s="166" t="s">
        <v>553</v>
      </c>
      <c r="B472" s="166" t="s">
        <v>554</v>
      </c>
      <c r="C472" s="166" t="s">
        <v>80</v>
      </c>
      <c r="D472" s="166" t="s">
        <v>733</v>
      </c>
      <c r="E472" s="166" t="s">
        <v>728</v>
      </c>
      <c r="F472" s="166" t="s">
        <v>11</v>
      </c>
      <c r="G472" s="266">
        <v>3.8500856999999999E-2</v>
      </c>
    </row>
    <row r="473" spans="1:8" s="28" customFormat="1" x14ac:dyDescent="0.25">
      <c r="A473" s="86" t="s">
        <v>555</v>
      </c>
      <c r="B473" s="86" t="s">
        <v>556</v>
      </c>
      <c r="C473" s="86" t="s">
        <v>63</v>
      </c>
      <c r="D473" s="86" t="s">
        <v>64</v>
      </c>
      <c r="E473" s="86" t="s">
        <v>726</v>
      </c>
      <c r="F473" s="86" t="s">
        <v>35</v>
      </c>
      <c r="G473" s="266">
        <v>118.456856</v>
      </c>
    </row>
    <row r="474" spans="1:8" s="81" customFormat="1" x14ac:dyDescent="0.25">
      <c r="A474" s="82" t="s">
        <v>557</v>
      </c>
      <c r="B474" s="82" t="s">
        <v>558</v>
      </c>
      <c r="C474" s="82" t="s">
        <v>27</v>
      </c>
      <c r="D474" s="82" t="s">
        <v>738</v>
      </c>
      <c r="E474" s="82" t="s">
        <v>728</v>
      </c>
      <c r="F474" s="82" t="s">
        <v>11</v>
      </c>
      <c r="G474" s="266">
        <v>1.9958777E-2</v>
      </c>
    </row>
    <row r="475" spans="1:8" s="129" customFormat="1" x14ac:dyDescent="0.25">
      <c r="A475" s="130" t="s">
        <v>357</v>
      </c>
      <c r="B475" s="130" t="s">
        <v>358</v>
      </c>
      <c r="C475" s="130" t="s">
        <v>14</v>
      </c>
      <c r="D475" s="130" t="s">
        <v>740</v>
      </c>
      <c r="E475" s="130" t="s">
        <v>727</v>
      </c>
      <c r="F475" s="130" t="s">
        <v>11</v>
      </c>
      <c r="G475" s="266">
        <v>0.66472960000000003</v>
      </c>
      <c r="H475" s="131"/>
    </row>
    <row r="476" spans="1:8" s="81" customFormat="1" x14ac:dyDescent="0.25">
      <c r="A476" s="82" t="s">
        <v>273</v>
      </c>
      <c r="B476" s="82" t="s">
        <v>274</v>
      </c>
      <c r="C476" s="82" t="s">
        <v>80</v>
      </c>
      <c r="D476" s="82" t="s">
        <v>733</v>
      </c>
      <c r="E476" s="82" t="s">
        <v>729</v>
      </c>
      <c r="F476" s="82" t="s">
        <v>11</v>
      </c>
      <c r="G476" s="266">
        <v>6.1341883000000002E-3</v>
      </c>
    </row>
    <row r="477" spans="1:8" s="28" customFormat="1" x14ac:dyDescent="0.25">
      <c r="A477" s="86" t="s">
        <v>559</v>
      </c>
      <c r="B477" s="86" t="s">
        <v>560</v>
      </c>
      <c r="C477" s="86" t="s">
        <v>27</v>
      </c>
      <c r="D477" s="86" t="s">
        <v>738</v>
      </c>
      <c r="E477" s="86" t="s">
        <v>726</v>
      </c>
      <c r="F477" s="86" t="s">
        <v>35</v>
      </c>
      <c r="G477" s="266">
        <v>83.410445999999993</v>
      </c>
    </row>
    <row r="478" spans="1:8" s="81" customFormat="1" x14ac:dyDescent="0.25">
      <c r="A478" s="82" t="s">
        <v>561</v>
      </c>
      <c r="B478" s="82" t="s">
        <v>562</v>
      </c>
      <c r="C478" s="82" t="s">
        <v>24</v>
      </c>
      <c r="D478" s="82" t="s">
        <v>735</v>
      </c>
      <c r="E478" s="82" t="s">
        <v>727</v>
      </c>
      <c r="F478" s="82" t="s">
        <v>11</v>
      </c>
      <c r="G478" s="266">
        <v>22.542096999999998</v>
      </c>
    </row>
    <row r="479" spans="1:8" s="81" customFormat="1" x14ac:dyDescent="0.25">
      <c r="A479" s="82" t="s">
        <v>25</v>
      </c>
      <c r="B479" s="82" t="s">
        <v>26</v>
      </c>
      <c r="C479" s="82" t="s">
        <v>27</v>
      </c>
      <c r="D479" s="82" t="s">
        <v>738</v>
      </c>
      <c r="E479" s="82" t="s">
        <v>15</v>
      </c>
      <c r="F479" s="82" t="s">
        <v>11</v>
      </c>
      <c r="G479" s="266">
        <v>176.32839999999999</v>
      </c>
    </row>
    <row r="480" spans="1:8" s="102" customFormat="1" x14ac:dyDescent="0.25">
      <c r="A480" s="103" t="s">
        <v>492</v>
      </c>
      <c r="B480" s="103" t="s">
        <v>493</v>
      </c>
      <c r="C480" s="103" t="s">
        <v>14</v>
      </c>
      <c r="D480" s="103" t="s">
        <v>740</v>
      </c>
      <c r="E480" s="103" t="s">
        <v>15</v>
      </c>
      <c r="F480" s="103" t="s">
        <v>741</v>
      </c>
      <c r="G480" s="266">
        <v>12.312125999999999</v>
      </c>
    </row>
    <row r="481" spans="1:8" s="81" customFormat="1" x14ac:dyDescent="0.25">
      <c r="A481" s="82" t="s">
        <v>517</v>
      </c>
      <c r="B481" s="82" t="s">
        <v>518</v>
      </c>
      <c r="C481" s="82" t="s">
        <v>24</v>
      </c>
      <c r="D481" s="82" t="s">
        <v>735</v>
      </c>
      <c r="E481" s="82" t="s">
        <v>15</v>
      </c>
      <c r="F481" s="82" t="s">
        <v>11</v>
      </c>
      <c r="G481" s="266">
        <v>76.415710000000004</v>
      </c>
    </row>
    <row r="482" spans="1:8" s="81" customFormat="1" x14ac:dyDescent="0.25">
      <c r="A482" s="82" t="s">
        <v>293</v>
      </c>
      <c r="B482" s="82" t="s">
        <v>294</v>
      </c>
      <c r="C482" s="82" t="s">
        <v>63</v>
      </c>
      <c r="D482" s="82" t="s">
        <v>64</v>
      </c>
      <c r="E482" s="82" t="s">
        <v>727</v>
      </c>
      <c r="F482" s="82" t="s">
        <v>11</v>
      </c>
      <c r="G482" s="266">
        <v>8.8178900000000002</v>
      </c>
    </row>
    <row r="483" spans="1:8" s="102" customFormat="1" x14ac:dyDescent="0.25">
      <c r="A483" s="103" t="s">
        <v>149</v>
      </c>
      <c r="B483" s="103" t="s">
        <v>150</v>
      </c>
      <c r="C483" s="103" t="s">
        <v>14</v>
      </c>
      <c r="D483" s="103" t="s">
        <v>740</v>
      </c>
      <c r="E483" s="103" t="s">
        <v>727</v>
      </c>
      <c r="F483" s="103" t="s">
        <v>741</v>
      </c>
      <c r="G483" s="266">
        <v>38.389797000000002</v>
      </c>
    </row>
    <row r="484" spans="1:8" s="81" customFormat="1" x14ac:dyDescent="0.25">
      <c r="A484" s="82" t="s">
        <v>223</v>
      </c>
      <c r="B484" s="82" t="s">
        <v>224</v>
      </c>
      <c r="C484" s="82" t="s">
        <v>80</v>
      </c>
      <c r="D484" s="82" t="s">
        <v>733</v>
      </c>
      <c r="E484" s="82" t="s">
        <v>728</v>
      </c>
      <c r="F484" s="82" t="s">
        <v>11</v>
      </c>
      <c r="G484" s="266">
        <v>70.83511</v>
      </c>
    </row>
    <row r="485" spans="1:8" s="102" customFormat="1" x14ac:dyDescent="0.25">
      <c r="A485" s="103" t="s">
        <v>369</v>
      </c>
      <c r="B485" s="103" t="s">
        <v>370</v>
      </c>
      <c r="C485" s="103" t="s">
        <v>14</v>
      </c>
      <c r="D485" s="103" t="s">
        <v>740</v>
      </c>
      <c r="E485" s="103" t="s">
        <v>15</v>
      </c>
      <c r="F485" s="103" t="s">
        <v>741</v>
      </c>
      <c r="G485" s="266">
        <v>7.4040169999999996</v>
      </c>
    </row>
    <row r="486" spans="1:8" s="81" customFormat="1" x14ac:dyDescent="0.25">
      <c r="A486" s="82" t="s">
        <v>525</v>
      </c>
      <c r="B486" s="82" t="s">
        <v>526</v>
      </c>
      <c r="C486" s="82" t="s">
        <v>63</v>
      </c>
      <c r="D486" s="82" t="s">
        <v>64</v>
      </c>
      <c r="E486" s="82" t="s">
        <v>727</v>
      </c>
      <c r="F486" s="82" t="s">
        <v>11</v>
      </c>
      <c r="G486" s="266">
        <v>23.514109000000001</v>
      </c>
    </row>
    <row r="487" spans="1:8" s="81" customFormat="1" x14ac:dyDescent="0.25">
      <c r="A487" s="82" t="s">
        <v>363</v>
      </c>
      <c r="B487" s="82" t="s">
        <v>364</v>
      </c>
      <c r="C487" s="82" t="s">
        <v>18</v>
      </c>
      <c r="D487" s="82" t="s">
        <v>19</v>
      </c>
      <c r="E487" s="82" t="s">
        <v>727</v>
      </c>
      <c r="F487" s="82" t="s">
        <v>11</v>
      </c>
      <c r="G487" s="266">
        <v>61.521225000000001</v>
      </c>
    </row>
    <row r="488" spans="1:8" s="81" customFormat="1" x14ac:dyDescent="0.25">
      <c r="A488" s="82" t="s">
        <v>563</v>
      </c>
      <c r="B488" s="82" t="s">
        <v>564</v>
      </c>
      <c r="C488" s="82" t="s">
        <v>24</v>
      </c>
      <c r="D488" s="82" t="s">
        <v>735</v>
      </c>
      <c r="E488" s="82" t="s">
        <v>727</v>
      </c>
      <c r="F488" s="82" t="s">
        <v>11</v>
      </c>
      <c r="G488" s="266">
        <v>30.768684</v>
      </c>
    </row>
    <row r="489" spans="1:8" s="81" customFormat="1" x14ac:dyDescent="0.25">
      <c r="A489" s="82" t="s">
        <v>565</v>
      </c>
      <c r="B489" s="82" t="s">
        <v>566</v>
      </c>
      <c r="C489" s="82" t="s">
        <v>189</v>
      </c>
      <c r="D489" s="82" t="s">
        <v>190</v>
      </c>
      <c r="E489" s="82" t="s">
        <v>728</v>
      </c>
      <c r="F489" s="82" t="s">
        <v>11</v>
      </c>
      <c r="G489" s="266">
        <v>381.73577999999998</v>
      </c>
    </row>
    <row r="490" spans="1:8" s="129" customFormat="1" x14ac:dyDescent="0.25">
      <c r="A490" s="130" t="s">
        <v>281</v>
      </c>
      <c r="B490" s="130" t="s">
        <v>282</v>
      </c>
      <c r="C490" s="130" t="s">
        <v>30</v>
      </c>
      <c r="D490" s="130" t="s">
        <v>732</v>
      </c>
      <c r="E490" s="130" t="s">
        <v>15</v>
      </c>
      <c r="F490" s="130" t="s">
        <v>11</v>
      </c>
      <c r="G490" s="266">
        <v>524.64080000000001</v>
      </c>
    </row>
    <row r="491" spans="1:8" s="81" customFormat="1" x14ac:dyDescent="0.25">
      <c r="A491" s="82" t="s">
        <v>515</v>
      </c>
      <c r="B491" s="82" t="s">
        <v>516</v>
      </c>
      <c r="C491" s="82" t="s">
        <v>27</v>
      </c>
      <c r="D491" s="82" t="s">
        <v>738</v>
      </c>
      <c r="E491" s="82" t="s">
        <v>15</v>
      </c>
      <c r="F491" s="82" t="s">
        <v>11</v>
      </c>
      <c r="G491" s="266">
        <v>120.50077</v>
      </c>
    </row>
    <row r="492" spans="1:8" s="81" customFormat="1" x14ac:dyDescent="0.25">
      <c r="A492" s="82" t="s">
        <v>85</v>
      </c>
      <c r="B492" s="82" t="s">
        <v>86</v>
      </c>
      <c r="C492" s="82" t="s">
        <v>18</v>
      </c>
      <c r="D492" s="82" t="s">
        <v>19</v>
      </c>
      <c r="E492" s="82" t="s">
        <v>15</v>
      </c>
      <c r="F492" s="82" t="s">
        <v>11</v>
      </c>
      <c r="G492" s="266">
        <v>770.53375000000005</v>
      </c>
    </row>
    <row r="493" spans="1:8" s="129" customFormat="1" x14ac:dyDescent="0.25">
      <c r="A493" s="130" t="s">
        <v>281</v>
      </c>
      <c r="B493" s="130" t="s">
        <v>282</v>
      </c>
      <c r="C493" s="130" t="s">
        <v>30</v>
      </c>
      <c r="D493" s="130" t="s">
        <v>732</v>
      </c>
      <c r="E493" s="130" t="s">
        <v>727</v>
      </c>
      <c r="F493" s="130" t="s">
        <v>11</v>
      </c>
      <c r="G493" s="266">
        <v>1.0876650999999999</v>
      </c>
      <c r="H493" s="131"/>
    </row>
    <row r="494" spans="1:8" s="28" customFormat="1" x14ac:dyDescent="0.25">
      <c r="A494" s="86" t="s">
        <v>567</v>
      </c>
      <c r="B494" s="86" t="s">
        <v>568</v>
      </c>
      <c r="C494" s="86" t="s">
        <v>63</v>
      </c>
      <c r="D494" s="86" t="s">
        <v>64</v>
      </c>
      <c r="E494" s="86" t="s">
        <v>726</v>
      </c>
      <c r="F494" s="86" t="s">
        <v>35</v>
      </c>
      <c r="G494" s="266">
        <v>25.279312000000001</v>
      </c>
    </row>
    <row r="495" spans="1:8" s="102" customFormat="1" x14ac:dyDescent="0.25">
      <c r="A495" s="103" t="s">
        <v>351</v>
      </c>
      <c r="B495" s="103" t="s">
        <v>352</v>
      </c>
      <c r="C495" s="103" t="s">
        <v>14</v>
      </c>
      <c r="D495" s="103" t="s">
        <v>740</v>
      </c>
      <c r="E495" s="103" t="s">
        <v>15</v>
      </c>
      <c r="F495" s="103" t="s">
        <v>741</v>
      </c>
      <c r="G495" s="266">
        <v>96.531580000000005</v>
      </c>
    </row>
    <row r="496" spans="1:8" s="81" customFormat="1" x14ac:dyDescent="0.25">
      <c r="A496" s="82" t="s">
        <v>563</v>
      </c>
      <c r="B496" s="82" t="s">
        <v>564</v>
      </c>
      <c r="C496" s="82" t="s">
        <v>24</v>
      </c>
      <c r="D496" s="82" t="s">
        <v>735</v>
      </c>
      <c r="E496" s="82" t="s">
        <v>15</v>
      </c>
      <c r="F496" s="82" t="s">
        <v>11</v>
      </c>
      <c r="G496" s="266">
        <v>114.61109999999999</v>
      </c>
    </row>
    <row r="497" spans="1:7" s="81" customFormat="1" x14ac:dyDescent="0.25">
      <c r="A497" s="82" t="s">
        <v>327</v>
      </c>
      <c r="B497" s="82" t="s">
        <v>328</v>
      </c>
      <c r="C497" s="82" t="s">
        <v>63</v>
      </c>
      <c r="D497" s="82" t="s">
        <v>64</v>
      </c>
      <c r="E497" s="82" t="s">
        <v>727</v>
      </c>
      <c r="F497" s="82" t="s">
        <v>11</v>
      </c>
      <c r="G497" s="266">
        <v>25.343216000000002</v>
      </c>
    </row>
    <row r="498" spans="1:7" s="81" customFormat="1" x14ac:dyDescent="0.25">
      <c r="A498" s="82" t="s">
        <v>245</v>
      </c>
      <c r="B498" s="82" t="s">
        <v>246</v>
      </c>
      <c r="C498" s="82" t="s">
        <v>9</v>
      </c>
      <c r="D498" s="82" t="s">
        <v>10</v>
      </c>
      <c r="E498" s="82" t="s">
        <v>727</v>
      </c>
      <c r="F498" s="82" t="s">
        <v>11</v>
      </c>
      <c r="G498" s="266">
        <v>46.774867999999998</v>
      </c>
    </row>
    <row r="499" spans="1:7" s="81" customFormat="1" x14ac:dyDescent="0.25">
      <c r="A499" s="82" t="s">
        <v>99</v>
      </c>
      <c r="B499" s="82" t="s">
        <v>100</v>
      </c>
      <c r="C499" s="82" t="s">
        <v>18</v>
      </c>
      <c r="D499" s="82" t="s">
        <v>19</v>
      </c>
      <c r="E499" s="82" t="s">
        <v>727</v>
      </c>
      <c r="F499" s="82" t="s">
        <v>11</v>
      </c>
      <c r="G499" s="266">
        <v>26.078558000000001</v>
      </c>
    </row>
    <row r="500" spans="1:7" s="81" customFormat="1" x14ac:dyDescent="0.25">
      <c r="A500" s="82" t="s">
        <v>393</v>
      </c>
      <c r="B500" s="82" t="s">
        <v>394</v>
      </c>
      <c r="C500" s="82" t="s">
        <v>18</v>
      </c>
      <c r="D500" s="82" t="s">
        <v>19</v>
      </c>
      <c r="E500" s="82" t="s">
        <v>727</v>
      </c>
      <c r="F500" s="82" t="s">
        <v>11</v>
      </c>
      <c r="G500" s="266">
        <v>211.74144000000001</v>
      </c>
    </row>
    <row r="501" spans="1:7" s="81" customFormat="1" x14ac:dyDescent="0.25">
      <c r="A501" s="82" t="s">
        <v>569</v>
      </c>
      <c r="B501" s="82" t="s">
        <v>570</v>
      </c>
      <c r="C501" s="82" t="s">
        <v>24</v>
      </c>
      <c r="D501" s="82" t="s">
        <v>735</v>
      </c>
      <c r="E501" s="82" t="s">
        <v>15</v>
      </c>
      <c r="F501" s="82" t="s">
        <v>11</v>
      </c>
      <c r="G501" s="266">
        <v>269.55005</v>
      </c>
    </row>
    <row r="502" spans="1:7" s="81" customFormat="1" x14ac:dyDescent="0.25">
      <c r="A502" s="82" t="s">
        <v>165</v>
      </c>
      <c r="B502" s="82" t="s">
        <v>166</v>
      </c>
      <c r="C502" s="82" t="s">
        <v>30</v>
      </c>
      <c r="D502" s="82" t="s">
        <v>732</v>
      </c>
      <c r="E502" s="82" t="s">
        <v>728</v>
      </c>
      <c r="F502" s="82" t="s">
        <v>11</v>
      </c>
      <c r="G502" s="266">
        <v>15.98922</v>
      </c>
    </row>
    <row r="503" spans="1:7" s="28" customFormat="1" x14ac:dyDescent="0.25">
      <c r="A503" s="86" t="s">
        <v>571</v>
      </c>
      <c r="B503" s="86" t="s">
        <v>572</v>
      </c>
      <c r="C503" s="86" t="s">
        <v>63</v>
      </c>
      <c r="D503" s="86" t="s">
        <v>64</v>
      </c>
      <c r="E503" s="86" t="s">
        <v>726</v>
      </c>
      <c r="F503" s="86" t="s">
        <v>35</v>
      </c>
      <c r="G503" s="266">
        <v>1.5562887000000001</v>
      </c>
    </row>
    <row r="504" spans="1:7" s="81" customFormat="1" x14ac:dyDescent="0.25">
      <c r="A504" s="82" t="s">
        <v>38</v>
      </c>
      <c r="B504" s="82" t="s">
        <v>39</v>
      </c>
      <c r="C504" s="82" t="s">
        <v>24</v>
      </c>
      <c r="D504" s="82" t="s">
        <v>735</v>
      </c>
      <c r="E504" s="82" t="s">
        <v>15</v>
      </c>
      <c r="F504" s="82" t="s">
        <v>11</v>
      </c>
      <c r="G504" s="266">
        <v>290.58114999999998</v>
      </c>
    </row>
    <row r="505" spans="1:7" s="182" customFormat="1" x14ac:dyDescent="0.25">
      <c r="A505" s="183" t="s">
        <v>295</v>
      </c>
      <c r="B505" s="183" t="s">
        <v>296</v>
      </c>
      <c r="C505" s="183" t="s">
        <v>63</v>
      </c>
      <c r="D505" s="183" t="s">
        <v>64</v>
      </c>
      <c r="E505" s="183" t="s">
        <v>15</v>
      </c>
      <c r="F505" s="183" t="s">
        <v>77</v>
      </c>
      <c r="G505" s="266">
        <v>678.71979999999996</v>
      </c>
    </row>
    <row r="506" spans="1:7" s="81" customFormat="1" x14ac:dyDescent="0.25">
      <c r="A506" s="82" t="s">
        <v>434</v>
      </c>
      <c r="B506" s="82" t="s">
        <v>435</v>
      </c>
      <c r="C506" s="82" t="s">
        <v>80</v>
      </c>
      <c r="D506" s="82" t="s">
        <v>733</v>
      </c>
      <c r="E506" s="82" t="s">
        <v>15</v>
      </c>
      <c r="F506" s="82" t="s">
        <v>11</v>
      </c>
      <c r="G506" s="266">
        <v>61.700603000000001</v>
      </c>
    </row>
    <row r="507" spans="1:7" s="81" customFormat="1" x14ac:dyDescent="0.25">
      <c r="A507" s="82" t="s">
        <v>67</v>
      </c>
      <c r="B507" s="82" t="s">
        <v>68</v>
      </c>
      <c r="C507" s="82" t="s">
        <v>30</v>
      </c>
      <c r="D507" s="82" t="s">
        <v>732</v>
      </c>
      <c r="E507" s="82" t="s">
        <v>15</v>
      </c>
      <c r="F507" s="82" t="s">
        <v>11</v>
      </c>
      <c r="G507" s="266">
        <v>79.658230000000003</v>
      </c>
    </row>
    <row r="508" spans="1:7" s="81" customFormat="1" x14ac:dyDescent="0.25">
      <c r="A508" s="82" t="s">
        <v>309</v>
      </c>
      <c r="B508" s="82" t="s">
        <v>310</v>
      </c>
      <c r="C508" s="82" t="s">
        <v>63</v>
      </c>
      <c r="D508" s="82" t="s">
        <v>64</v>
      </c>
      <c r="E508" s="82" t="s">
        <v>728</v>
      </c>
      <c r="F508" s="82" t="s">
        <v>11</v>
      </c>
      <c r="G508" s="266">
        <v>17.765018000000001</v>
      </c>
    </row>
    <row r="509" spans="1:7" s="81" customFormat="1" x14ac:dyDescent="0.25">
      <c r="A509" s="82" t="s">
        <v>319</v>
      </c>
      <c r="B509" s="82" t="s">
        <v>320</v>
      </c>
      <c r="C509" s="82" t="s">
        <v>30</v>
      </c>
      <c r="D509" s="82" t="s">
        <v>732</v>
      </c>
      <c r="E509" s="82" t="s">
        <v>727</v>
      </c>
      <c r="F509" s="82" t="s">
        <v>11</v>
      </c>
      <c r="G509" s="266">
        <v>14.726516</v>
      </c>
    </row>
    <row r="510" spans="1:7" s="81" customFormat="1" x14ac:dyDescent="0.25">
      <c r="A510" s="82" t="s">
        <v>215</v>
      </c>
      <c r="B510" s="82" t="s">
        <v>216</v>
      </c>
      <c r="C510" s="82" t="s">
        <v>63</v>
      </c>
      <c r="D510" s="82" t="s">
        <v>64</v>
      </c>
      <c r="E510" s="82" t="s">
        <v>727</v>
      </c>
      <c r="F510" s="82" t="s">
        <v>11</v>
      </c>
      <c r="G510" s="266">
        <v>13.85216</v>
      </c>
    </row>
    <row r="511" spans="1:7" s="81" customFormat="1" x14ac:dyDescent="0.25">
      <c r="A511" s="82" t="s">
        <v>573</v>
      </c>
      <c r="B511" s="82" t="s">
        <v>574</v>
      </c>
      <c r="C511" s="82" t="s">
        <v>63</v>
      </c>
      <c r="D511" s="82" t="s">
        <v>64</v>
      </c>
      <c r="E511" s="82" t="s">
        <v>15</v>
      </c>
      <c r="F511" s="82" t="s">
        <v>11</v>
      </c>
      <c r="G511" s="266">
        <v>168.8158</v>
      </c>
    </row>
    <row r="512" spans="1:7" s="81" customFormat="1" x14ac:dyDescent="0.25">
      <c r="A512" s="82" t="s">
        <v>575</v>
      </c>
      <c r="B512" s="82" t="s">
        <v>576</v>
      </c>
      <c r="C512" s="82" t="s">
        <v>30</v>
      </c>
      <c r="D512" s="82" t="s">
        <v>732</v>
      </c>
      <c r="E512" s="82" t="s">
        <v>727</v>
      </c>
      <c r="F512" s="82" t="s">
        <v>11</v>
      </c>
      <c r="G512" s="266">
        <v>37.519832999999998</v>
      </c>
    </row>
    <row r="513" spans="1:7" s="28" customFormat="1" x14ac:dyDescent="0.25">
      <c r="A513" s="86" t="s">
        <v>533</v>
      </c>
      <c r="B513" s="86" t="s">
        <v>534</v>
      </c>
      <c r="C513" s="86" t="s">
        <v>411</v>
      </c>
      <c r="D513" s="86" t="s">
        <v>737</v>
      </c>
      <c r="E513" s="86" t="s">
        <v>726</v>
      </c>
      <c r="F513" s="86" t="s">
        <v>35</v>
      </c>
      <c r="G513" s="266">
        <v>7.9343260000000004</v>
      </c>
    </row>
    <row r="514" spans="1:7" s="81" customFormat="1" x14ac:dyDescent="0.25">
      <c r="A514" s="82" t="s">
        <v>389</v>
      </c>
      <c r="B514" s="82" t="s">
        <v>390</v>
      </c>
      <c r="C514" s="82" t="s">
        <v>14</v>
      </c>
      <c r="D514" s="82" t="s">
        <v>740</v>
      </c>
      <c r="E514" s="82" t="s">
        <v>727</v>
      </c>
      <c r="F514" s="82" t="s">
        <v>11</v>
      </c>
      <c r="G514" s="266">
        <v>92.840310000000002</v>
      </c>
    </row>
    <row r="515" spans="1:7" s="81" customFormat="1" x14ac:dyDescent="0.25">
      <c r="A515" s="82" t="s">
        <v>448</v>
      </c>
      <c r="B515" s="82" t="s">
        <v>449</v>
      </c>
      <c r="C515" s="82" t="s">
        <v>80</v>
      </c>
      <c r="D515" s="82" t="s">
        <v>733</v>
      </c>
      <c r="E515" s="82" t="s">
        <v>728</v>
      </c>
      <c r="F515" s="82" t="s">
        <v>11</v>
      </c>
      <c r="G515" s="266">
        <v>227.67491000000001</v>
      </c>
    </row>
    <row r="516" spans="1:7" s="81" customFormat="1" x14ac:dyDescent="0.25">
      <c r="A516" s="82" t="s">
        <v>498</v>
      </c>
      <c r="B516" s="82" t="s">
        <v>499</v>
      </c>
      <c r="C516" s="82" t="s">
        <v>33</v>
      </c>
      <c r="D516" s="82" t="s">
        <v>34</v>
      </c>
      <c r="E516" s="82" t="s">
        <v>728</v>
      </c>
      <c r="F516" s="82" t="s">
        <v>11</v>
      </c>
      <c r="G516" s="266">
        <v>327.93905999999998</v>
      </c>
    </row>
    <row r="517" spans="1:7" s="81" customFormat="1" x14ac:dyDescent="0.25">
      <c r="A517" s="82" t="s">
        <v>452</v>
      </c>
      <c r="B517" s="82" t="s">
        <v>453</v>
      </c>
      <c r="C517" s="82" t="s">
        <v>30</v>
      </c>
      <c r="D517" s="82" t="s">
        <v>732</v>
      </c>
      <c r="E517" s="82" t="s">
        <v>727</v>
      </c>
      <c r="F517" s="82" t="s">
        <v>11</v>
      </c>
      <c r="G517" s="266">
        <v>114.31471000000001</v>
      </c>
    </row>
    <row r="518" spans="1:7" s="81" customFormat="1" x14ac:dyDescent="0.25">
      <c r="A518" s="82" t="s">
        <v>561</v>
      </c>
      <c r="B518" s="82" t="s">
        <v>562</v>
      </c>
      <c r="C518" s="82" t="s">
        <v>24</v>
      </c>
      <c r="D518" s="82" t="s">
        <v>735</v>
      </c>
      <c r="E518" s="82" t="s">
        <v>728</v>
      </c>
      <c r="F518" s="82" t="s">
        <v>11</v>
      </c>
      <c r="G518" s="266">
        <v>42.841537000000002</v>
      </c>
    </row>
    <row r="519" spans="1:7" s="81" customFormat="1" x14ac:dyDescent="0.25">
      <c r="A519" s="82" t="s">
        <v>347</v>
      </c>
      <c r="B519" s="82" t="s">
        <v>348</v>
      </c>
      <c r="C519" s="82" t="s">
        <v>18</v>
      </c>
      <c r="D519" s="82" t="s">
        <v>19</v>
      </c>
      <c r="E519" s="82" t="s">
        <v>727</v>
      </c>
      <c r="F519" s="82" t="s">
        <v>11</v>
      </c>
      <c r="G519" s="266">
        <v>9.9831350000000008</v>
      </c>
    </row>
    <row r="520" spans="1:7" s="81" customFormat="1" x14ac:dyDescent="0.25">
      <c r="A520" s="82" t="s">
        <v>87</v>
      </c>
      <c r="B520" s="82" t="s">
        <v>88</v>
      </c>
      <c r="C520" s="82" t="s">
        <v>80</v>
      </c>
      <c r="D520" s="82" t="s">
        <v>733</v>
      </c>
      <c r="E520" s="82" t="s">
        <v>728</v>
      </c>
      <c r="F520" s="82" t="s">
        <v>11</v>
      </c>
      <c r="G520" s="266">
        <v>136.96090000000001</v>
      </c>
    </row>
    <row r="521" spans="1:7" s="28" customFormat="1" x14ac:dyDescent="0.25">
      <c r="A521" s="86" t="s">
        <v>490</v>
      </c>
      <c r="B521" s="86" t="s">
        <v>491</v>
      </c>
      <c r="C521" s="86" t="s">
        <v>140</v>
      </c>
      <c r="D521" s="86" t="s">
        <v>734</v>
      </c>
      <c r="E521" s="86" t="s">
        <v>726</v>
      </c>
      <c r="F521" s="86" t="s">
        <v>35</v>
      </c>
      <c r="G521" s="266">
        <v>75.38391</v>
      </c>
    </row>
    <row r="522" spans="1:7" s="81" customFormat="1" x14ac:dyDescent="0.25">
      <c r="A522" s="82" t="s">
        <v>565</v>
      </c>
      <c r="B522" s="82" t="s">
        <v>566</v>
      </c>
      <c r="C522" s="82" t="s">
        <v>189</v>
      </c>
      <c r="D522" s="82" t="s">
        <v>190</v>
      </c>
      <c r="E522" s="82" t="s">
        <v>15</v>
      </c>
      <c r="F522" s="82" t="s">
        <v>11</v>
      </c>
      <c r="G522" s="266">
        <v>1685.0419999999999</v>
      </c>
    </row>
    <row r="523" spans="1:7" s="81" customFormat="1" x14ac:dyDescent="0.25">
      <c r="A523" s="82" t="s">
        <v>181</v>
      </c>
      <c r="B523" s="82" t="s">
        <v>182</v>
      </c>
      <c r="C523" s="82" t="s">
        <v>14</v>
      </c>
      <c r="D523" s="82" t="s">
        <v>740</v>
      </c>
      <c r="E523" s="82" t="s">
        <v>727</v>
      </c>
      <c r="F523" s="82" t="s">
        <v>11</v>
      </c>
      <c r="G523" s="266">
        <v>44.544296000000003</v>
      </c>
    </row>
    <row r="524" spans="1:7" s="81" customFormat="1" x14ac:dyDescent="0.25">
      <c r="A524" s="82" t="s">
        <v>20</v>
      </c>
      <c r="B524" s="82" t="s">
        <v>21</v>
      </c>
      <c r="C524" s="82" t="s">
        <v>18</v>
      </c>
      <c r="D524" s="82" t="s">
        <v>19</v>
      </c>
      <c r="E524" s="82" t="s">
        <v>728</v>
      </c>
      <c r="F524" s="82" t="s">
        <v>11</v>
      </c>
      <c r="G524" s="266">
        <v>57.548175999999998</v>
      </c>
    </row>
    <row r="525" spans="1:7" s="81" customFormat="1" x14ac:dyDescent="0.25">
      <c r="A525" s="82" t="s">
        <v>343</v>
      </c>
      <c r="B525" s="82" t="s">
        <v>344</v>
      </c>
      <c r="C525" s="82" t="s">
        <v>227</v>
      </c>
      <c r="D525" s="82" t="s">
        <v>228</v>
      </c>
      <c r="E525" s="82" t="s">
        <v>728</v>
      </c>
      <c r="F525" s="82" t="s">
        <v>11</v>
      </c>
      <c r="G525" s="266">
        <v>141.37935999999999</v>
      </c>
    </row>
    <row r="526" spans="1:7" s="81" customFormat="1" x14ac:dyDescent="0.25">
      <c r="A526" s="82" t="s">
        <v>498</v>
      </c>
      <c r="B526" s="82" t="s">
        <v>499</v>
      </c>
      <c r="C526" s="82" t="s">
        <v>33</v>
      </c>
      <c r="D526" s="82" t="s">
        <v>34</v>
      </c>
      <c r="E526" s="82" t="s">
        <v>15</v>
      </c>
      <c r="F526" s="82" t="s">
        <v>11</v>
      </c>
      <c r="G526" s="266">
        <v>6956.9440000000004</v>
      </c>
    </row>
    <row r="527" spans="1:7" s="81" customFormat="1" x14ac:dyDescent="0.25">
      <c r="A527" s="82" t="s">
        <v>377</v>
      </c>
      <c r="B527" s="82" t="s">
        <v>378</v>
      </c>
      <c r="C527" s="82" t="s">
        <v>24</v>
      </c>
      <c r="D527" s="82" t="s">
        <v>735</v>
      </c>
      <c r="E527" s="82" t="s">
        <v>728</v>
      </c>
      <c r="F527" s="82" t="s">
        <v>11</v>
      </c>
      <c r="G527" s="266">
        <v>27.990279999999998</v>
      </c>
    </row>
    <row r="528" spans="1:7" s="81" customFormat="1" x14ac:dyDescent="0.25">
      <c r="A528" s="82" t="s">
        <v>466</v>
      </c>
      <c r="B528" s="82" t="s">
        <v>467</v>
      </c>
      <c r="C528" s="82" t="s">
        <v>63</v>
      </c>
      <c r="D528" s="82" t="s">
        <v>64</v>
      </c>
      <c r="E528" s="82" t="s">
        <v>728</v>
      </c>
      <c r="F528" s="82" t="s">
        <v>11</v>
      </c>
      <c r="G528" s="266">
        <v>31.895555000000002</v>
      </c>
    </row>
    <row r="529" spans="1:8" s="81" customFormat="1" x14ac:dyDescent="0.25">
      <c r="A529" s="82" t="s">
        <v>551</v>
      </c>
      <c r="B529" s="82" t="s">
        <v>552</v>
      </c>
      <c r="C529" s="82" t="s">
        <v>30</v>
      </c>
      <c r="D529" s="82" t="s">
        <v>732</v>
      </c>
      <c r="E529" s="82" t="s">
        <v>728</v>
      </c>
      <c r="F529" s="82" t="s">
        <v>11</v>
      </c>
      <c r="G529" s="266">
        <v>14.986929</v>
      </c>
    </row>
    <row r="530" spans="1:8" s="129" customFormat="1" x14ac:dyDescent="0.25">
      <c r="A530" s="130" t="s">
        <v>165</v>
      </c>
      <c r="B530" s="130" t="s">
        <v>166</v>
      </c>
      <c r="C530" s="130" t="s">
        <v>30</v>
      </c>
      <c r="D530" s="130" t="s">
        <v>732</v>
      </c>
      <c r="E530" s="130" t="s">
        <v>15</v>
      </c>
      <c r="F530" s="130" t="s">
        <v>11</v>
      </c>
      <c r="G530" s="266">
        <v>82.663619999999995</v>
      </c>
      <c r="H530" s="131"/>
    </row>
    <row r="531" spans="1:8" s="102" customFormat="1" x14ac:dyDescent="0.25">
      <c r="A531" s="103" t="s">
        <v>205</v>
      </c>
      <c r="B531" s="103" t="s">
        <v>206</v>
      </c>
      <c r="C531" s="103" t="s">
        <v>14</v>
      </c>
      <c r="D531" s="103" t="s">
        <v>740</v>
      </c>
      <c r="E531" s="103" t="s">
        <v>728</v>
      </c>
      <c r="F531" s="103" t="s">
        <v>741</v>
      </c>
      <c r="G531" s="266">
        <v>153.56128000000001</v>
      </c>
    </row>
    <row r="532" spans="1:8" s="81" customFormat="1" x14ac:dyDescent="0.25">
      <c r="A532" s="82" t="s">
        <v>507</v>
      </c>
      <c r="B532" s="82" t="s">
        <v>508</v>
      </c>
      <c r="C532" s="82" t="s">
        <v>80</v>
      </c>
      <c r="D532" s="82" t="s">
        <v>733</v>
      </c>
      <c r="E532" s="82" t="s">
        <v>727</v>
      </c>
      <c r="F532" s="82" t="s">
        <v>11</v>
      </c>
      <c r="G532" s="266">
        <v>120.34622</v>
      </c>
    </row>
    <row r="533" spans="1:8" s="81" customFormat="1" x14ac:dyDescent="0.25">
      <c r="A533" s="82" t="s">
        <v>197</v>
      </c>
      <c r="B533" s="82" t="s">
        <v>198</v>
      </c>
      <c r="C533" s="82" t="s">
        <v>30</v>
      </c>
      <c r="D533" s="82" t="s">
        <v>732</v>
      </c>
      <c r="E533" s="82" t="s">
        <v>15</v>
      </c>
      <c r="F533" s="82" t="s">
        <v>11</v>
      </c>
      <c r="G533" s="266">
        <v>25.498515999999999</v>
      </c>
    </row>
    <row r="534" spans="1:8" s="81" customFormat="1" x14ac:dyDescent="0.25">
      <c r="A534" s="82" t="s">
        <v>249</v>
      </c>
      <c r="B534" s="82" t="s">
        <v>250</v>
      </c>
      <c r="C534" s="82" t="s">
        <v>46</v>
      </c>
      <c r="D534" s="82" t="s">
        <v>739</v>
      </c>
      <c r="E534" s="82" t="s">
        <v>728</v>
      </c>
      <c r="F534" s="82" t="s">
        <v>11</v>
      </c>
      <c r="G534" s="266">
        <v>49.758339999999997</v>
      </c>
    </row>
    <row r="535" spans="1:8" s="81" customFormat="1" x14ac:dyDescent="0.25">
      <c r="A535" s="82" t="s">
        <v>494</v>
      </c>
      <c r="B535" s="82" t="s">
        <v>495</v>
      </c>
      <c r="C535" s="82" t="s">
        <v>46</v>
      </c>
      <c r="D535" s="82" t="s">
        <v>739</v>
      </c>
      <c r="E535" s="82" t="s">
        <v>728</v>
      </c>
      <c r="F535" s="82" t="s">
        <v>11</v>
      </c>
      <c r="G535" s="266">
        <v>23.100680000000001</v>
      </c>
    </row>
    <row r="536" spans="1:8" s="28" customFormat="1" x14ac:dyDescent="0.25">
      <c r="A536" s="86" t="s">
        <v>295</v>
      </c>
      <c r="B536" s="86" t="s">
        <v>296</v>
      </c>
      <c r="C536" s="86" t="s">
        <v>63</v>
      </c>
      <c r="D536" s="86" t="s">
        <v>64</v>
      </c>
      <c r="E536" s="86" t="s">
        <v>726</v>
      </c>
      <c r="F536" s="86" t="s">
        <v>35</v>
      </c>
      <c r="G536" s="266">
        <v>41.977739999999997</v>
      </c>
    </row>
    <row r="537" spans="1:8" s="81" customFormat="1" x14ac:dyDescent="0.25">
      <c r="A537" s="82" t="s">
        <v>565</v>
      </c>
      <c r="B537" s="82" t="s">
        <v>566</v>
      </c>
      <c r="C537" s="82" t="s">
        <v>189</v>
      </c>
      <c r="D537" s="82" t="s">
        <v>190</v>
      </c>
      <c r="E537" s="82" t="s">
        <v>727</v>
      </c>
      <c r="F537" s="82" t="s">
        <v>11</v>
      </c>
      <c r="G537" s="266">
        <v>62.60389</v>
      </c>
    </row>
    <row r="538" spans="1:8" s="81" customFormat="1" x14ac:dyDescent="0.25">
      <c r="A538" s="82" t="s">
        <v>359</v>
      </c>
      <c r="B538" s="82" t="s">
        <v>360</v>
      </c>
      <c r="C538" s="82" t="s">
        <v>30</v>
      </c>
      <c r="D538" s="82" t="s">
        <v>732</v>
      </c>
      <c r="E538" s="82" t="s">
        <v>728</v>
      </c>
      <c r="F538" s="82" t="s">
        <v>11</v>
      </c>
      <c r="G538" s="266">
        <v>54.036952999999997</v>
      </c>
      <c r="H538" s="83"/>
    </row>
    <row r="539" spans="1:8" s="28" customFormat="1" x14ac:dyDescent="0.25">
      <c r="A539" s="86" t="s">
        <v>409</v>
      </c>
      <c r="B539" s="86" t="s">
        <v>410</v>
      </c>
      <c r="C539" s="86" t="s">
        <v>411</v>
      </c>
      <c r="D539" s="86" t="s">
        <v>737</v>
      </c>
      <c r="E539" s="86" t="s">
        <v>726</v>
      </c>
      <c r="F539" s="86" t="s">
        <v>35</v>
      </c>
      <c r="G539" s="266">
        <v>3.4311547</v>
      </c>
    </row>
    <row r="540" spans="1:8" s="81" customFormat="1" x14ac:dyDescent="0.25">
      <c r="A540" s="82" t="s">
        <v>577</v>
      </c>
      <c r="B540" s="82" t="s">
        <v>578</v>
      </c>
      <c r="C540" s="82" t="s">
        <v>24</v>
      </c>
      <c r="D540" s="82" t="s">
        <v>735</v>
      </c>
      <c r="E540" s="82" t="s">
        <v>727</v>
      </c>
      <c r="F540" s="82" t="s">
        <v>11</v>
      </c>
      <c r="G540" s="266">
        <v>3.0660202999999999</v>
      </c>
    </row>
    <row r="541" spans="1:8" s="81" customFormat="1" x14ac:dyDescent="0.25">
      <c r="A541" s="82" t="s">
        <v>547</v>
      </c>
      <c r="B541" s="82" t="s">
        <v>548</v>
      </c>
      <c r="C541" s="82" t="s">
        <v>14</v>
      </c>
      <c r="D541" s="82" t="s">
        <v>740</v>
      </c>
      <c r="E541" s="82" t="s">
        <v>728</v>
      </c>
      <c r="F541" s="82" t="s">
        <v>11</v>
      </c>
      <c r="G541" s="266">
        <v>98.195625000000007</v>
      </c>
    </row>
    <row r="542" spans="1:8" s="81" customFormat="1" x14ac:dyDescent="0.25">
      <c r="A542" s="82" t="s">
        <v>432</v>
      </c>
      <c r="B542" s="82" t="s">
        <v>433</v>
      </c>
      <c r="C542" s="82" t="s">
        <v>30</v>
      </c>
      <c r="D542" s="82" t="s">
        <v>732</v>
      </c>
      <c r="E542" s="82" t="s">
        <v>728</v>
      </c>
      <c r="F542" s="82" t="s">
        <v>11</v>
      </c>
      <c r="G542" s="266">
        <v>11.589373</v>
      </c>
    </row>
    <row r="543" spans="1:8" s="81" customFormat="1" x14ac:dyDescent="0.25">
      <c r="A543" s="82" t="s">
        <v>363</v>
      </c>
      <c r="B543" s="82" t="s">
        <v>364</v>
      </c>
      <c r="C543" s="82" t="s">
        <v>18</v>
      </c>
      <c r="D543" s="82" t="s">
        <v>19</v>
      </c>
      <c r="E543" s="82" t="s">
        <v>728</v>
      </c>
      <c r="F543" s="82" t="s">
        <v>11</v>
      </c>
      <c r="G543" s="266">
        <v>90.785126000000005</v>
      </c>
    </row>
    <row r="544" spans="1:8" s="81" customFormat="1" x14ac:dyDescent="0.25">
      <c r="A544" s="82" t="s">
        <v>484</v>
      </c>
      <c r="B544" s="82" t="s">
        <v>485</v>
      </c>
      <c r="C544" s="82" t="s">
        <v>80</v>
      </c>
      <c r="D544" s="82" t="s">
        <v>733</v>
      </c>
      <c r="E544" s="82" t="s">
        <v>727</v>
      </c>
      <c r="F544" s="82" t="s">
        <v>11</v>
      </c>
      <c r="G544" s="266">
        <v>278.26407</v>
      </c>
    </row>
    <row r="545" spans="1:8" s="81" customFormat="1" x14ac:dyDescent="0.25">
      <c r="A545" s="82" t="s">
        <v>307</v>
      </c>
      <c r="B545" s="82" t="s">
        <v>308</v>
      </c>
      <c r="C545" s="82" t="s">
        <v>80</v>
      </c>
      <c r="D545" s="82" t="s">
        <v>733</v>
      </c>
      <c r="E545" s="82" t="s">
        <v>727</v>
      </c>
      <c r="F545" s="82" t="s">
        <v>11</v>
      </c>
      <c r="G545" s="266">
        <v>84.461105000000003</v>
      </c>
    </row>
    <row r="546" spans="1:8" s="54" customFormat="1" x14ac:dyDescent="0.25">
      <c r="A546" s="53" t="s">
        <v>450</v>
      </c>
      <c r="B546" s="53" t="s">
        <v>451</v>
      </c>
      <c r="C546" s="53" t="s">
        <v>14</v>
      </c>
      <c r="D546" s="53" t="s">
        <v>740</v>
      </c>
      <c r="E546" s="53" t="s">
        <v>727</v>
      </c>
      <c r="F546" s="53" t="s">
        <v>11</v>
      </c>
      <c r="G546" s="266">
        <v>37.797153000000002</v>
      </c>
    </row>
    <row r="547" spans="1:8" s="81" customFormat="1" x14ac:dyDescent="0.25">
      <c r="A547" s="82" t="s">
        <v>126</v>
      </c>
      <c r="B547" s="82" t="s">
        <v>127</v>
      </c>
      <c r="C547" s="82" t="s">
        <v>9</v>
      </c>
      <c r="D547" s="82" t="s">
        <v>10</v>
      </c>
      <c r="E547" s="82" t="s">
        <v>727</v>
      </c>
      <c r="F547" s="82" t="s">
        <v>11</v>
      </c>
      <c r="G547" s="266">
        <v>64.070710000000005</v>
      </c>
    </row>
    <row r="548" spans="1:8" s="102" customFormat="1" x14ac:dyDescent="0.25">
      <c r="A548" s="103" t="s">
        <v>579</v>
      </c>
      <c r="B548" s="103" t="s">
        <v>580</v>
      </c>
      <c r="C548" s="103" t="s">
        <v>14</v>
      </c>
      <c r="D548" s="103" t="s">
        <v>740</v>
      </c>
      <c r="E548" s="103" t="s">
        <v>729</v>
      </c>
      <c r="F548" s="103" t="s">
        <v>741</v>
      </c>
      <c r="G548" s="266">
        <v>24.904547000000001</v>
      </c>
    </row>
    <row r="549" spans="1:8" s="81" customFormat="1" x14ac:dyDescent="0.25">
      <c r="A549" s="82" t="s">
        <v>490</v>
      </c>
      <c r="B549" s="82" t="s">
        <v>491</v>
      </c>
      <c r="C549" s="82" t="s">
        <v>140</v>
      </c>
      <c r="D549" s="82" t="s">
        <v>734</v>
      </c>
      <c r="E549" s="82" t="s">
        <v>15</v>
      </c>
      <c r="F549" s="82" t="s">
        <v>11</v>
      </c>
      <c r="G549" s="266">
        <v>238.76580999999999</v>
      </c>
      <c r="H549" s="83"/>
    </row>
    <row r="550" spans="1:8" s="28" customFormat="1" x14ac:dyDescent="0.25">
      <c r="A550" s="86" t="s">
        <v>581</v>
      </c>
      <c r="B550" s="86" t="s">
        <v>582</v>
      </c>
      <c r="C550" s="86" t="s">
        <v>30</v>
      </c>
      <c r="D550" s="86" t="s">
        <v>732</v>
      </c>
      <c r="E550" s="86" t="s">
        <v>726</v>
      </c>
      <c r="F550" s="86" t="s">
        <v>35</v>
      </c>
      <c r="G550" s="266">
        <v>3.9568837000000001</v>
      </c>
    </row>
    <row r="551" spans="1:8" s="81" customFormat="1" x14ac:dyDescent="0.25">
      <c r="A551" s="82" t="s">
        <v>387</v>
      </c>
      <c r="B551" s="82" t="s">
        <v>388</v>
      </c>
      <c r="C551" s="82" t="s">
        <v>30</v>
      </c>
      <c r="D551" s="82" t="s">
        <v>732</v>
      </c>
      <c r="E551" s="82" t="s">
        <v>728</v>
      </c>
      <c r="F551" s="82" t="s">
        <v>11</v>
      </c>
      <c r="G551" s="266">
        <v>125.75094</v>
      </c>
    </row>
    <row r="552" spans="1:8" s="182" customFormat="1" x14ac:dyDescent="0.25">
      <c r="A552" s="183" t="s">
        <v>458</v>
      </c>
      <c r="B552" s="183" t="s">
        <v>459</v>
      </c>
      <c r="C552" s="183" t="s">
        <v>63</v>
      </c>
      <c r="D552" s="183" t="s">
        <v>64</v>
      </c>
      <c r="E552" s="183" t="s">
        <v>727</v>
      </c>
      <c r="F552" s="183" t="s">
        <v>77</v>
      </c>
      <c r="G552" s="266">
        <v>45.96378</v>
      </c>
      <c r="H552" s="184">
        <f>G399+G552</f>
        <v>46.363073239999999</v>
      </c>
    </row>
    <row r="553" spans="1:8" s="102" customFormat="1" x14ac:dyDescent="0.25">
      <c r="A553" s="103" t="s">
        <v>149</v>
      </c>
      <c r="B553" s="103" t="s">
        <v>150</v>
      </c>
      <c r="C553" s="103" t="s">
        <v>14</v>
      </c>
      <c r="D553" s="103" t="s">
        <v>740</v>
      </c>
      <c r="E553" s="103" t="s">
        <v>15</v>
      </c>
      <c r="F553" s="103" t="s">
        <v>741</v>
      </c>
      <c r="G553" s="266">
        <v>12.130439000000001</v>
      </c>
    </row>
    <row r="554" spans="1:8" s="81" customFormat="1" x14ac:dyDescent="0.25">
      <c r="A554" s="82" t="s">
        <v>267</v>
      </c>
      <c r="B554" s="82" t="s">
        <v>268</v>
      </c>
      <c r="C554" s="82" t="s">
        <v>14</v>
      </c>
      <c r="D554" s="82" t="s">
        <v>740</v>
      </c>
      <c r="E554" s="82" t="s">
        <v>727</v>
      </c>
      <c r="F554" s="82" t="s">
        <v>11</v>
      </c>
      <c r="G554" s="266">
        <v>11.492058</v>
      </c>
    </row>
    <row r="555" spans="1:8" s="81" customFormat="1" x14ac:dyDescent="0.25">
      <c r="A555" s="82" t="s">
        <v>128</v>
      </c>
      <c r="B555" s="82" t="s">
        <v>129</v>
      </c>
      <c r="C555" s="82" t="s">
        <v>80</v>
      </c>
      <c r="D555" s="82" t="s">
        <v>733</v>
      </c>
      <c r="E555" s="82" t="s">
        <v>728</v>
      </c>
      <c r="F555" s="82" t="s">
        <v>11</v>
      </c>
      <c r="G555" s="266">
        <v>232.88376</v>
      </c>
    </row>
    <row r="556" spans="1:8" s="81" customFormat="1" x14ac:dyDescent="0.25">
      <c r="A556" s="82" t="s">
        <v>71</v>
      </c>
      <c r="B556" s="82" t="s">
        <v>72</v>
      </c>
      <c r="C556" s="82" t="s">
        <v>63</v>
      </c>
      <c r="D556" s="82" t="s">
        <v>64</v>
      </c>
      <c r="E556" s="82" t="s">
        <v>728</v>
      </c>
      <c r="F556" s="82" t="s">
        <v>11</v>
      </c>
      <c r="G556" s="266">
        <v>8.5851590000000009</v>
      </c>
    </row>
    <row r="557" spans="1:8" s="81" customFormat="1" x14ac:dyDescent="0.25">
      <c r="A557" s="82" t="s">
        <v>289</v>
      </c>
      <c r="B557" s="82" t="s">
        <v>290</v>
      </c>
      <c r="C557" s="82" t="s">
        <v>63</v>
      </c>
      <c r="D557" s="82" t="s">
        <v>64</v>
      </c>
      <c r="E557" s="82" t="s">
        <v>15</v>
      </c>
      <c r="F557" s="82" t="s">
        <v>11</v>
      </c>
      <c r="G557" s="266">
        <v>37.101512999999997</v>
      </c>
    </row>
    <row r="558" spans="1:8" s="81" customFormat="1" x14ac:dyDescent="0.25">
      <c r="A558" s="82" t="s">
        <v>71</v>
      </c>
      <c r="B558" s="82" t="s">
        <v>72</v>
      </c>
      <c r="C558" s="82" t="s">
        <v>63</v>
      </c>
      <c r="D558" s="82" t="s">
        <v>64</v>
      </c>
      <c r="E558" s="82" t="s">
        <v>727</v>
      </c>
      <c r="F558" s="82" t="s">
        <v>11</v>
      </c>
      <c r="G558" s="266">
        <v>136.39995999999999</v>
      </c>
    </row>
    <row r="559" spans="1:8" s="81" customFormat="1" x14ac:dyDescent="0.25">
      <c r="A559" s="82" t="s">
        <v>583</v>
      </c>
      <c r="B559" s="82" t="s">
        <v>584</v>
      </c>
      <c r="C559" s="82" t="s">
        <v>80</v>
      </c>
      <c r="D559" s="82" t="s">
        <v>733</v>
      </c>
      <c r="E559" s="82" t="s">
        <v>727</v>
      </c>
      <c r="F559" s="82" t="s">
        <v>11</v>
      </c>
      <c r="G559" s="266">
        <v>0.23714160000000001</v>
      </c>
    </row>
    <row r="560" spans="1:8" s="81" customFormat="1" x14ac:dyDescent="0.25">
      <c r="A560" s="82" t="s">
        <v>438</v>
      </c>
      <c r="B560" s="82" t="s">
        <v>439</v>
      </c>
      <c r="C560" s="82" t="s">
        <v>9</v>
      </c>
      <c r="D560" s="82" t="s">
        <v>10</v>
      </c>
      <c r="E560" s="82" t="s">
        <v>727</v>
      </c>
      <c r="F560" s="82" t="s">
        <v>11</v>
      </c>
      <c r="G560" s="266">
        <v>4.248653</v>
      </c>
    </row>
    <row r="561" spans="1:8" s="28" customFormat="1" x14ac:dyDescent="0.25">
      <c r="A561" s="86" t="s">
        <v>555</v>
      </c>
      <c r="B561" s="86" t="s">
        <v>556</v>
      </c>
      <c r="C561" s="86" t="s">
        <v>63</v>
      </c>
      <c r="D561" s="86" t="s">
        <v>64</v>
      </c>
      <c r="E561" s="86" t="s">
        <v>726</v>
      </c>
      <c r="F561" s="86" t="s">
        <v>105</v>
      </c>
      <c r="G561" s="266">
        <v>9.4301560000000002</v>
      </c>
    </row>
    <row r="562" spans="1:8" s="28" customFormat="1" x14ac:dyDescent="0.25">
      <c r="A562" s="86" t="s">
        <v>585</v>
      </c>
      <c r="B562" s="86" t="s">
        <v>586</v>
      </c>
      <c r="C562" s="86" t="s">
        <v>157</v>
      </c>
      <c r="D562" s="86" t="s">
        <v>158</v>
      </c>
      <c r="E562" s="86" t="s">
        <v>726</v>
      </c>
      <c r="F562" s="86" t="s">
        <v>35</v>
      </c>
      <c r="G562" s="266">
        <v>25.203085000000002</v>
      </c>
    </row>
    <row r="563" spans="1:8" s="81" customFormat="1" x14ac:dyDescent="0.25">
      <c r="A563" s="82" t="s">
        <v>83</v>
      </c>
      <c r="B563" s="82" t="s">
        <v>84</v>
      </c>
      <c r="C563" s="82" t="s">
        <v>80</v>
      </c>
      <c r="D563" s="82" t="s">
        <v>733</v>
      </c>
      <c r="E563" s="82" t="s">
        <v>727</v>
      </c>
      <c r="F563" s="82" t="s">
        <v>11</v>
      </c>
      <c r="G563" s="266">
        <v>102.420586</v>
      </c>
    </row>
    <row r="564" spans="1:8" s="28" customFormat="1" x14ac:dyDescent="0.25">
      <c r="A564" s="86" t="s">
        <v>587</v>
      </c>
      <c r="B564" s="86" t="s">
        <v>588</v>
      </c>
      <c r="C564" s="86" t="s">
        <v>27</v>
      </c>
      <c r="D564" s="86" t="s">
        <v>738</v>
      </c>
      <c r="E564" s="86" t="s">
        <v>728</v>
      </c>
      <c r="F564" s="86" t="s">
        <v>11</v>
      </c>
      <c r="G564" s="266">
        <v>0.14114185000000001</v>
      </c>
    </row>
    <row r="565" spans="1:8" s="54" customFormat="1" x14ac:dyDescent="0.25">
      <c r="A565" s="53" t="s">
        <v>486</v>
      </c>
      <c r="B565" s="53" t="s">
        <v>487</v>
      </c>
      <c r="C565" s="53" t="s">
        <v>80</v>
      </c>
      <c r="D565" s="53" t="s">
        <v>733</v>
      </c>
      <c r="E565" s="53" t="s">
        <v>728</v>
      </c>
      <c r="F565" s="53" t="s">
        <v>11</v>
      </c>
      <c r="G565" s="266">
        <v>13.942435</v>
      </c>
      <c r="H565" s="310"/>
    </row>
    <row r="566" spans="1:8" s="81" customFormat="1" x14ac:dyDescent="0.25">
      <c r="A566" s="82" t="s">
        <v>442</v>
      </c>
      <c r="B566" s="82" t="s">
        <v>443</v>
      </c>
      <c r="C566" s="82" t="s">
        <v>14</v>
      </c>
      <c r="D566" s="82" t="s">
        <v>740</v>
      </c>
      <c r="E566" s="82" t="s">
        <v>727</v>
      </c>
      <c r="F566" s="82" t="s">
        <v>11</v>
      </c>
      <c r="G566" s="266">
        <v>27.179943000000002</v>
      </c>
    </row>
    <row r="567" spans="1:8" s="81" customFormat="1" x14ac:dyDescent="0.25">
      <c r="A567" s="82" t="s">
        <v>589</v>
      </c>
      <c r="B567" s="82" t="s">
        <v>590</v>
      </c>
      <c r="C567" s="82" t="s">
        <v>24</v>
      </c>
      <c r="D567" s="82" t="s">
        <v>735</v>
      </c>
      <c r="E567" s="82" t="s">
        <v>15</v>
      </c>
      <c r="F567" s="82" t="s">
        <v>11</v>
      </c>
      <c r="G567" s="266">
        <v>94.647869999999998</v>
      </c>
    </row>
    <row r="568" spans="1:8" s="81" customFormat="1" x14ac:dyDescent="0.25">
      <c r="A568" s="82" t="s">
        <v>426</v>
      </c>
      <c r="B568" s="82" t="s">
        <v>427</v>
      </c>
      <c r="C568" s="82" t="s">
        <v>18</v>
      </c>
      <c r="D568" s="82" t="s">
        <v>19</v>
      </c>
      <c r="E568" s="82" t="s">
        <v>727</v>
      </c>
      <c r="F568" s="82" t="s">
        <v>11</v>
      </c>
      <c r="G568" s="266">
        <v>12.534784</v>
      </c>
    </row>
    <row r="569" spans="1:8" s="102" customFormat="1" x14ac:dyDescent="0.25">
      <c r="A569" s="103" t="s">
        <v>351</v>
      </c>
      <c r="B569" s="103" t="s">
        <v>352</v>
      </c>
      <c r="C569" s="103" t="s">
        <v>14</v>
      </c>
      <c r="D569" s="103" t="s">
        <v>740</v>
      </c>
      <c r="E569" s="103" t="s">
        <v>728</v>
      </c>
      <c r="F569" s="103" t="s">
        <v>741</v>
      </c>
      <c r="G569" s="266">
        <v>117.56056</v>
      </c>
    </row>
    <row r="570" spans="1:8" s="81" customFormat="1" x14ac:dyDescent="0.25">
      <c r="A570" s="82" t="s">
        <v>245</v>
      </c>
      <c r="B570" s="82" t="s">
        <v>246</v>
      </c>
      <c r="C570" s="82" t="s">
        <v>9</v>
      </c>
      <c r="D570" s="82" t="s">
        <v>10</v>
      </c>
      <c r="E570" s="82" t="s">
        <v>15</v>
      </c>
      <c r="F570" s="82" t="s">
        <v>11</v>
      </c>
      <c r="G570" s="266">
        <v>507.02456999999998</v>
      </c>
    </row>
    <row r="571" spans="1:8" s="81" customFormat="1" x14ac:dyDescent="0.25">
      <c r="A571" s="82" t="s">
        <v>575</v>
      </c>
      <c r="B571" s="82" t="s">
        <v>576</v>
      </c>
      <c r="C571" s="82" t="s">
        <v>30</v>
      </c>
      <c r="D571" s="82" t="s">
        <v>732</v>
      </c>
      <c r="E571" s="82" t="s">
        <v>15</v>
      </c>
      <c r="F571" s="82" t="s">
        <v>11</v>
      </c>
      <c r="G571" s="266">
        <v>149.09293</v>
      </c>
    </row>
    <row r="572" spans="1:8" s="81" customFormat="1" x14ac:dyDescent="0.25">
      <c r="A572" s="82" t="s">
        <v>187</v>
      </c>
      <c r="B572" s="82" t="s">
        <v>188</v>
      </c>
      <c r="C572" s="82" t="s">
        <v>189</v>
      </c>
      <c r="D572" s="82" t="s">
        <v>190</v>
      </c>
      <c r="E572" s="82" t="s">
        <v>15</v>
      </c>
      <c r="F572" s="82" t="s">
        <v>11</v>
      </c>
      <c r="G572" s="266">
        <v>3792.6550000000002</v>
      </c>
    </row>
    <row r="573" spans="1:8" s="129" customFormat="1" x14ac:dyDescent="0.25">
      <c r="A573" s="130" t="s">
        <v>385</v>
      </c>
      <c r="B573" s="130" t="s">
        <v>386</v>
      </c>
      <c r="C573" s="130" t="s">
        <v>30</v>
      </c>
      <c r="D573" s="130" t="s">
        <v>732</v>
      </c>
      <c r="E573" s="130" t="s">
        <v>15</v>
      </c>
      <c r="F573" s="130" t="s">
        <v>11</v>
      </c>
      <c r="G573" s="266">
        <v>30.546669000000001</v>
      </c>
      <c r="H573" s="131"/>
    </row>
    <row r="574" spans="1:8" s="102" customFormat="1" x14ac:dyDescent="0.25">
      <c r="A574" s="103" t="s">
        <v>428</v>
      </c>
      <c r="B574" s="103" t="s">
        <v>429</v>
      </c>
      <c r="C574" s="103" t="s">
        <v>14</v>
      </c>
      <c r="D574" s="103" t="s">
        <v>740</v>
      </c>
      <c r="E574" s="103" t="s">
        <v>729</v>
      </c>
      <c r="F574" s="103" t="s">
        <v>741</v>
      </c>
      <c r="G574" s="266">
        <v>205.8417</v>
      </c>
    </row>
    <row r="575" spans="1:8" s="81" customFormat="1" x14ac:dyDescent="0.25">
      <c r="A575" s="82" t="s">
        <v>519</v>
      </c>
      <c r="B575" s="82" t="s">
        <v>520</v>
      </c>
      <c r="C575" s="82" t="s">
        <v>80</v>
      </c>
      <c r="D575" s="82" t="s">
        <v>733</v>
      </c>
      <c r="E575" s="82" t="s">
        <v>729</v>
      </c>
      <c r="F575" s="82" t="s">
        <v>11</v>
      </c>
      <c r="G575" s="266">
        <v>3.2613750000000001</v>
      </c>
    </row>
    <row r="576" spans="1:8" s="182" customFormat="1" x14ac:dyDescent="0.25">
      <c r="A576" s="183" t="s">
        <v>130</v>
      </c>
      <c r="B576" s="183" t="s">
        <v>131</v>
      </c>
      <c r="C576" s="183" t="s">
        <v>63</v>
      </c>
      <c r="D576" s="183" t="s">
        <v>64</v>
      </c>
      <c r="E576" s="183" t="s">
        <v>727</v>
      </c>
      <c r="F576" s="183" t="s">
        <v>77</v>
      </c>
      <c r="G576" s="266">
        <v>5.9936259999999999</v>
      </c>
    </row>
    <row r="577" spans="1:7" s="102" customFormat="1" x14ac:dyDescent="0.25">
      <c r="A577" s="103" t="s">
        <v>401</v>
      </c>
      <c r="B577" s="103" t="s">
        <v>402</v>
      </c>
      <c r="C577" s="103" t="s">
        <v>14</v>
      </c>
      <c r="D577" s="103" t="s">
        <v>740</v>
      </c>
      <c r="E577" s="103" t="s">
        <v>729</v>
      </c>
      <c r="F577" s="103" t="s">
        <v>741</v>
      </c>
      <c r="G577" s="266">
        <v>44.712074000000001</v>
      </c>
    </row>
    <row r="578" spans="1:7" s="81" customFormat="1" x14ac:dyDescent="0.25">
      <c r="A578" s="82" t="s">
        <v>472</v>
      </c>
      <c r="B578" s="82" t="s">
        <v>473</v>
      </c>
      <c r="C578" s="82" t="s">
        <v>14</v>
      </c>
      <c r="D578" s="82" t="s">
        <v>740</v>
      </c>
      <c r="E578" s="82" t="s">
        <v>15</v>
      </c>
      <c r="F578" s="82" t="s">
        <v>11</v>
      </c>
      <c r="G578" s="266">
        <v>20.786650000000002</v>
      </c>
    </row>
    <row r="579" spans="1:7" s="81" customFormat="1" x14ac:dyDescent="0.25">
      <c r="A579" s="82" t="s">
        <v>539</v>
      </c>
      <c r="B579" s="82" t="s">
        <v>540</v>
      </c>
      <c r="C579" s="82" t="s">
        <v>24</v>
      </c>
      <c r="D579" s="82" t="s">
        <v>735</v>
      </c>
      <c r="E579" s="82" t="s">
        <v>727</v>
      </c>
      <c r="F579" s="82" t="s">
        <v>11</v>
      </c>
      <c r="G579" s="266">
        <v>16.445744999999999</v>
      </c>
    </row>
    <row r="580" spans="1:7" s="81" customFormat="1" x14ac:dyDescent="0.25">
      <c r="A580" s="82" t="s">
        <v>343</v>
      </c>
      <c r="B580" s="82" t="s">
        <v>344</v>
      </c>
      <c r="C580" s="82" t="s">
        <v>227</v>
      </c>
      <c r="D580" s="82" t="s">
        <v>228</v>
      </c>
      <c r="E580" s="82" t="s">
        <v>730</v>
      </c>
      <c r="F580" s="82" t="s">
        <v>11</v>
      </c>
      <c r="G580" s="266">
        <v>252.13930999999999</v>
      </c>
    </row>
    <row r="581" spans="1:7" s="28" customFormat="1" x14ac:dyDescent="0.25">
      <c r="A581" s="86" t="s">
        <v>587</v>
      </c>
      <c r="B581" s="86" t="s">
        <v>588</v>
      </c>
      <c r="C581" s="86" t="s">
        <v>27</v>
      </c>
      <c r="D581" s="86" t="s">
        <v>738</v>
      </c>
      <c r="E581" s="86" t="s">
        <v>15</v>
      </c>
      <c r="F581" s="86" t="s">
        <v>11</v>
      </c>
      <c r="G581" s="266">
        <v>6.8053714000000003E-4</v>
      </c>
    </row>
    <row r="582" spans="1:7" s="81" customFormat="1" x14ac:dyDescent="0.25">
      <c r="A582" s="82" t="s">
        <v>513</v>
      </c>
      <c r="B582" s="82" t="s">
        <v>514</v>
      </c>
      <c r="C582" s="82" t="s">
        <v>189</v>
      </c>
      <c r="D582" s="82" t="s">
        <v>190</v>
      </c>
      <c r="E582" s="82" t="s">
        <v>728</v>
      </c>
      <c r="F582" s="82" t="s">
        <v>11</v>
      </c>
      <c r="G582" s="266">
        <v>90.346779999999995</v>
      </c>
    </row>
    <row r="583" spans="1:7" s="81" customFormat="1" x14ac:dyDescent="0.25">
      <c r="A583" s="82" t="s">
        <v>575</v>
      </c>
      <c r="B583" s="82" t="s">
        <v>576</v>
      </c>
      <c r="C583" s="82" t="s">
        <v>30</v>
      </c>
      <c r="D583" s="82" t="s">
        <v>732</v>
      </c>
      <c r="E583" s="82" t="s">
        <v>728</v>
      </c>
      <c r="F583" s="82" t="s">
        <v>11</v>
      </c>
      <c r="G583" s="266">
        <v>104.68077</v>
      </c>
    </row>
    <row r="584" spans="1:7" s="28" customFormat="1" x14ac:dyDescent="0.25">
      <c r="A584" s="86" t="s">
        <v>591</v>
      </c>
      <c r="B584" s="86" t="s">
        <v>592</v>
      </c>
      <c r="C584" s="86" t="s">
        <v>27</v>
      </c>
      <c r="D584" s="86" t="s">
        <v>738</v>
      </c>
      <c r="E584" s="86" t="s">
        <v>726</v>
      </c>
      <c r="F584" s="86" t="s">
        <v>35</v>
      </c>
      <c r="G584" s="266">
        <v>322.58920000000001</v>
      </c>
    </row>
    <row r="585" spans="1:7" s="81" customFormat="1" x14ac:dyDescent="0.25">
      <c r="A585" s="82" t="s">
        <v>259</v>
      </c>
      <c r="B585" s="82" t="s">
        <v>260</v>
      </c>
      <c r="C585" s="82" t="s">
        <v>30</v>
      </c>
      <c r="D585" s="82" t="s">
        <v>732</v>
      </c>
      <c r="E585" s="82" t="s">
        <v>727</v>
      </c>
      <c r="F585" s="82" t="s">
        <v>11</v>
      </c>
      <c r="G585" s="266">
        <v>88.406970000000001</v>
      </c>
    </row>
    <row r="586" spans="1:7" s="102" customFormat="1" x14ac:dyDescent="0.25">
      <c r="A586" s="103" t="s">
        <v>579</v>
      </c>
      <c r="B586" s="103" t="s">
        <v>580</v>
      </c>
      <c r="C586" s="103" t="s">
        <v>14</v>
      </c>
      <c r="D586" s="103" t="s">
        <v>740</v>
      </c>
      <c r="E586" s="103" t="s">
        <v>728</v>
      </c>
      <c r="F586" s="103" t="s">
        <v>741</v>
      </c>
      <c r="G586" s="266">
        <v>40.861767</v>
      </c>
    </row>
    <row r="587" spans="1:7" s="81" customFormat="1" x14ac:dyDescent="0.25">
      <c r="A587" s="82" t="s">
        <v>377</v>
      </c>
      <c r="B587" s="82" t="s">
        <v>378</v>
      </c>
      <c r="C587" s="82" t="s">
        <v>24</v>
      </c>
      <c r="D587" s="82" t="s">
        <v>735</v>
      </c>
      <c r="E587" s="82" t="s">
        <v>727</v>
      </c>
      <c r="F587" s="82" t="s">
        <v>11</v>
      </c>
      <c r="G587" s="266">
        <v>2.1334333000000001</v>
      </c>
    </row>
    <row r="588" spans="1:7" s="81" customFormat="1" x14ac:dyDescent="0.25">
      <c r="A588" s="82" t="s">
        <v>331</v>
      </c>
      <c r="B588" s="82" t="s">
        <v>332</v>
      </c>
      <c r="C588" s="82" t="s">
        <v>18</v>
      </c>
      <c r="D588" s="82" t="s">
        <v>19</v>
      </c>
      <c r="E588" s="82" t="s">
        <v>727</v>
      </c>
      <c r="F588" s="82" t="s">
        <v>11</v>
      </c>
      <c r="G588" s="266">
        <v>63.016330000000004</v>
      </c>
    </row>
    <row r="589" spans="1:7" s="81" customFormat="1" x14ac:dyDescent="0.25">
      <c r="A589" s="82" t="s">
        <v>279</v>
      </c>
      <c r="B589" s="82" t="s">
        <v>280</v>
      </c>
      <c r="C589" s="82" t="s">
        <v>18</v>
      </c>
      <c r="D589" s="82" t="s">
        <v>19</v>
      </c>
      <c r="E589" s="82" t="s">
        <v>728</v>
      </c>
      <c r="F589" s="82" t="s">
        <v>11</v>
      </c>
      <c r="G589" s="266">
        <v>200.88824</v>
      </c>
    </row>
    <row r="590" spans="1:7" s="81" customFormat="1" x14ac:dyDescent="0.25">
      <c r="A590" s="82" t="s">
        <v>181</v>
      </c>
      <c r="B590" s="82" t="s">
        <v>182</v>
      </c>
      <c r="C590" s="82" t="s">
        <v>14</v>
      </c>
      <c r="D590" s="82" t="s">
        <v>740</v>
      </c>
      <c r="E590" s="82" t="s">
        <v>15</v>
      </c>
      <c r="F590" s="82" t="s">
        <v>11</v>
      </c>
      <c r="G590" s="266">
        <v>54.336440000000003</v>
      </c>
    </row>
    <row r="591" spans="1:7" s="149" customFormat="1" x14ac:dyDescent="0.25">
      <c r="A591" s="166" t="s">
        <v>195</v>
      </c>
      <c r="B591" s="166" t="s">
        <v>196</v>
      </c>
      <c r="C591" s="166" t="s">
        <v>80</v>
      </c>
      <c r="D591" s="166" t="s">
        <v>733</v>
      </c>
      <c r="E591" s="166" t="s">
        <v>15</v>
      </c>
      <c r="F591" s="166" t="s">
        <v>11</v>
      </c>
      <c r="G591" s="266">
        <v>0.14439669999999999</v>
      </c>
    </row>
    <row r="592" spans="1:7" s="81" customFormat="1" x14ac:dyDescent="0.25">
      <c r="A592" s="82" t="s">
        <v>593</v>
      </c>
      <c r="B592" s="82" t="s">
        <v>594</v>
      </c>
      <c r="C592" s="82" t="s">
        <v>24</v>
      </c>
      <c r="D592" s="82" t="s">
        <v>735</v>
      </c>
      <c r="E592" s="82" t="s">
        <v>728</v>
      </c>
      <c r="F592" s="82" t="s">
        <v>11</v>
      </c>
      <c r="G592" s="266">
        <v>6.9135074999999997</v>
      </c>
    </row>
    <row r="593" spans="1:7" s="28" customFormat="1" x14ac:dyDescent="0.25">
      <c r="A593" s="86" t="s">
        <v>595</v>
      </c>
      <c r="B593" s="86" t="s">
        <v>596</v>
      </c>
      <c r="C593" s="86" t="s">
        <v>30</v>
      </c>
      <c r="D593" s="86" t="s">
        <v>732</v>
      </c>
      <c r="E593" s="86" t="s">
        <v>726</v>
      </c>
      <c r="F593" s="86" t="s">
        <v>35</v>
      </c>
      <c r="G593" s="266">
        <v>111.90555999999999</v>
      </c>
    </row>
    <row r="594" spans="1:7" s="28" customFormat="1" x14ac:dyDescent="0.25">
      <c r="A594" s="86" t="s">
        <v>597</v>
      </c>
      <c r="B594" s="86" t="s">
        <v>598</v>
      </c>
      <c r="C594" s="86" t="s">
        <v>140</v>
      </c>
      <c r="D594" s="86" t="s">
        <v>734</v>
      </c>
      <c r="E594" s="86" t="s">
        <v>726</v>
      </c>
      <c r="F594" s="86" t="s">
        <v>35</v>
      </c>
      <c r="G594" s="266">
        <v>8.3119139999999998</v>
      </c>
    </row>
    <row r="595" spans="1:7" s="81" customFormat="1" x14ac:dyDescent="0.25">
      <c r="A595" s="82" t="s">
        <v>561</v>
      </c>
      <c r="B595" s="82" t="s">
        <v>562</v>
      </c>
      <c r="C595" s="82" t="s">
        <v>24</v>
      </c>
      <c r="D595" s="82" t="s">
        <v>735</v>
      </c>
      <c r="E595" s="82" t="s">
        <v>15</v>
      </c>
      <c r="F595" s="82" t="s">
        <v>11</v>
      </c>
      <c r="G595" s="266">
        <v>215.90271000000001</v>
      </c>
    </row>
    <row r="596" spans="1:7" s="81" customFormat="1" x14ac:dyDescent="0.25">
      <c r="A596" s="82" t="s">
        <v>303</v>
      </c>
      <c r="B596" s="82" t="s">
        <v>304</v>
      </c>
      <c r="C596" s="82" t="s">
        <v>30</v>
      </c>
      <c r="D596" s="82" t="s">
        <v>732</v>
      </c>
      <c r="E596" s="82" t="s">
        <v>727</v>
      </c>
      <c r="F596" s="82" t="s">
        <v>11</v>
      </c>
      <c r="G596" s="266">
        <v>6.7003339999999998</v>
      </c>
    </row>
    <row r="597" spans="1:7" s="81" customFormat="1" x14ac:dyDescent="0.25">
      <c r="A597" s="82" t="s">
        <v>371</v>
      </c>
      <c r="B597" s="82" t="s">
        <v>372</v>
      </c>
      <c r="C597" s="82" t="s">
        <v>30</v>
      </c>
      <c r="D597" s="82" t="s">
        <v>732</v>
      </c>
      <c r="E597" s="82" t="s">
        <v>728</v>
      </c>
      <c r="F597" s="82" t="s">
        <v>11</v>
      </c>
      <c r="G597" s="266">
        <v>10.778259</v>
      </c>
    </row>
    <row r="598" spans="1:7" s="28" customFormat="1" x14ac:dyDescent="0.25">
      <c r="A598" s="86" t="s">
        <v>599</v>
      </c>
      <c r="B598" s="86" t="s">
        <v>600</v>
      </c>
      <c r="C598" s="86" t="s">
        <v>75</v>
      </c>
      <c r="D598" s="86" t="s">
        <v>76</v>
      </c>
      <c r="E598" s="86" t="s">
        <v>726</v>
      </c>
      <c r="F598" s="86" t="s">
        <v>35</v>
      </c>
      <c r="G598" s="266">
        <v>576.38310000000001</v>
      </c>
    </row>
    <row r="599" spans="1:7" s="81" customFormat="1" x14ac:dyDescent="0.25">
      <c r="A599" s="82" t="s">
        <v>163</v>
      </c>
      <c r="B599" s="82" t="s">
        <v>164</v>
      </c>
      <c r="C599" s="82" t="s">
        <v>14</v>
      </c>
      <c r="D599" s="82" t="s">
        <v>740</v>
      </c>
      <c r="E599" s="82" t="s">
        <v>15</v>
      </c>
      <c r="F599" s="82" t="s">
        <v>11</v>
      </c>
      <c r="G599" s="266">
        <v>17.687096</v>
      </c>
    </row>
    <row r="600" spans="1:7" s="81" customFormat="1" x14ac:dyDescent="0.25">
      <c r="A600" s="82" t="s">
        <v>321</v>
      </c>
      <c r="B600" s="82" t="s">
        <v>322</v>
      </c>
      <c r="C600" s="82" t="s">
        <v>63</v>
      </c>
      <c r="D600" s="82" t="s">
        <v>64</v>
      </c>
      <c r="E600" s="82" t="s">
        <v>728</v>
      </c>
      <c r="F600" s="82" t="s">
        <v>11</v>
      </c>
      <c r="G600" s="266">
        <v>206.57213999999999</v>
      </c>
    </row>
    <row r="601" spans="1:7" s="28" customFormat="1" x14ac:dyDescent="0.25">
      <c r="A601" s="86" t="s">
        <v>601</v>
      </c>
      <c r="B601" s="86" t="s">
        <v>602</v>
      </c>
      <c r="C601" s="86" t="s">
        <v>411</v>
      </c>
      <c r="D601" s="86" t="s">
        <v>737</v>
      </c>
      <c r="E601" s="86" t="s">
        <v>726</v>
      </c>
      <c r="F601" s="86" t="s">
        <v>35</v>
      </c>
      <c r="G601" s="266">
        <v>65.487750000000005</v>
      </c>
    </row>
    <row r="602" spans="1:7" s="81" customFormat="1" x14ac:dyDescent="0.25">
      <c r="A602" s="82" t="s">
        <v>603</v>
      </c>
      <c r="B602" s="82" t="s">
        <v>604</v>
      </c>
      <c r="C602" s="82" t="s">
        <v>46</v>
      </c>
      <c r="D602" s="82" t="s">
        <v>739</v>
      </c>
      <c r="E602" s="82" t="s">
        <v>15</v>
      </c>
      <c r="F602" s="82" t="s">
        <v>11</v>
      </c>
      <c r="G602" s="266">
        <v>47.853029999999997</v>
      </c>
    </row>
    <row r="603" spans="1:7" s="81" customFormat="1" x14ac:dyDescent="0.25">
      <c r="A603" s="82" t="s">
        <v>211</v>
      </c>
      <c r="B603" s="82" t="s">
        <v>212</v>
      </c>
      <c r="C603" s="82" t="s">
        <v>30</v>
      </c>
      <c r="D603" s="82" t="s">
        <v>732</v>
      </c>
      <c r="E603" s="82" t="s">
        <v>727</v>
      </c>
      <c r="F603" s="82" t="s">
        <v>11</v>
      </c>
      <c r="G603" s="266">
        <v>6.8970922999999997</v>
      </c>
    </row>
    <row r="604" spans="1:7" s="81" customFormat="1" x14ac:dyDescent="0.25">
      <c r="A604" s="82" t="s">
        <v>112</v>
      </c>
      <c r="B604" s="82" t="s">
        <v>113</v>
      </c>
      <c r="C604" s="82" t="s">
        <v>63</v>
      </c>
      <c r="D604" s="82" t="s">
        <v>64</v>
      </c>
      <c r="E604" s="82" t="s">
        <v>727</v>
      </c>
      <c r="F604" s="82" t="s">
        <v>11</v>
      </c>
      <c r="G604" s="266">
        <v>30.811491</v>
      </c>
    </row>
    <row r="605" spans="1:7" s="28" customFormat="1" x14ac:dyDescent="0.25">
      <c r="A605" s="86" t="s">
        <v>605</v>
      </c>
      <c r="B605" s="86" t="s">
        <v>606</v>
      </c>
      <c r="C605" s="86" t="s">
        <v>46</v>
      </c>
      <c r="D605" s="86" t="s">
        <v>739</v>
      </c>
      <c r="E605" s="86" t="s">
        <v>726</v>
      </c>
      <c r="F605" s="86" t="s">
        <v>35</v>
      </c>
      <c r="G605" s="266">
        <v>59.609923999999999</v>
      </c>
    </row>
    <row r="606" spans="1:7" s="81" customFormat="1" x14ac:dyDescent="0.25">
      <c r="A606" s="82" t="s">
        <v>241</v>
      </c>
      <c r="B606" s="82" t="s">
        <v>242</v>
      </c>
      <c r="C606" s="82" t="s">
        <v>30</v>
      </c>
      <c r="D606" s="82" t="s">
        <v>732</v>
      </c>
      <c r="E606" s="82" t="s">
        <v>728</v>
      </c>
      <c r="F606" s="82" t="s">
        <v>11</v>
      </c>
      <c r="G606" s="266">
        <v>10.768174999999999</v>
      </c>
    </row>
    <row r="607" spans="1:7" s="81" customFormat="1" x14ac:dyDescent="0.25">
      <c r="A607" s="82" t="s">
        <v>49</v>
      </c>
      <c r="B607" s="82" t="s">
        <v>50</v>
      </c>
      <c r="C607" s="82" t="s">
        <v>30</v>
      </c>
      <c r="D607" s="82" t="s">
        <v>732</v>
      </c>
      <c r="E607" s="82" t="s">
        <v>727</v>
      </c>
      <c r="F607" s="82" t="s">
        <v>11</v>
      </c>
      <c r="G607" s="266">
        <v>9.2164590000000004</v>
      </c>
    </row>
    <row r="608" spans="1:7" s="28" customFormat="1" x14ac:dyDescent="0.25">
      <c r="A608" s="86" t="s">
        <v>607</v>
      </c>
      <c r="B608" s="86" t="s">
        <v>608</v>
      </c>
      <c r="C608" s="86" t="s">
        <v>27</v>
      </c>
      <c r="D608" s="86" t="s">
        <v>738</v>
      </c>
      <c r="E608" s="86" t="s">
        <v>726</v>
      </c>
      <c r="F608" s="86" t="s">
        <v>35</v>
      </c>
      <c r="G608" s="266">
        <v>77.932940000000002</v>
      </c>
    </row>
    <row r="609" spans="1:8" s="81" customFormat="1" x14ac:dyDescent="0.25">
      <c r="A609" s="82" t="s">
        <v>191</v>
      </c>
      <c r="B609" s="82" t="s">
        <v>192</v>
      </c>
      <c r="C609" s="82" t="s">
        <v>75</v>
      </c>
      <c r="D609" s="82" t="s">
        <v>76</v>
      </c>
      <c r="E609" s="82" t="s">
        <v>15</v>
      </c>
      <c r="F609" s="82" t="s">
        <v>11</v>
      </c>
      <c r="G609" s="266">
        <v>133.95044999999999</v>
      </c>
    </row>
    <row r="610" spans="1:8" s="28" customFormat="1" x14ac:dyDescent="0.25">
      <c r="A610" s="86" t="s">
        <v>537</v>
      </c>
      <c r="B610" s="86" t="s">
        <v>538</v>
      </c>
      <c r="C610" s="86" t="s">
        <v>63</v>
      </c>
      <c r="D610" s="86" t="s">
        <v>64</v>
      </c>
      <c r="E610" s="86" t="s">
        <v>726</v>
      </c>
      <c r="F610" s="86" t="s">
        <v>105</v>
      </c>
      <c r="G610" s="266">
        <v>35.480255</v>
      </c>
    </row>
    <row r="611" spans="1:8" s="129" customFormat="1" x14ac:dyDescent="0.25">
      <c r="A611" s="130" t="s">
        <v>241</v>
      </c>
      <c r="B611" s="130" t="s">
        <v>242</v>
      </c>
      <c r="C611" s="130" t="s">
        <v>30</v>
      </c>
      <c r="D611" s="130" t="s">
        <v>732</v>
      </c>
      <c r="E611" s="130" t="s">
        <v>727</v>
      </c>
      <c r="F611" s="130" t="s">
        <v>11</v>
      </c>
      <c r="G611" s="266">
        <v>0.71744129999999995</v>
      </c>
      <c r="H611" s="131"/>
    </row>
    <row r="612" spans="1:8" s="28" customFormat="1" x14ac:dyDescent="0.25">
      <c r="A612" s="86" t="s">
        <v>609</v>
      </c>
      <c r="B612" s="86" t="s">
        <v>610</v>
      </c>
      <c r="C612" s="86" t="s">
        <v>75</v>
      </c>
      <c r="D612" s="86" t="s">
        <v>76</v>
      </c>
      <c r="E612" s="86" t="s">
        <v>726</v>
      </c>
      <c r="F612" s="86" t="s">
        <v>105</v>
      </c>
      <c r="G612" s="266">
        <v>83.447509999999994</v>
      </c>
    </row>
    <row r="613" spans="1:8" s="129" customFormat="1" x14ac:dyDescent="0.25">
      <c r="A613" s="130" t="s">
        <v>95</v>
      </c>
      <c r="B613" s="130" t="s">
        <v>96</v>
      </c>
      <c r="C613" s="130" t="s">
        <v>30</v>
      </c>
      <c r="D613" s="130" t="s">
        <v>732</v>
      </c>
      <c r="E613" s="130" t="s">
        <v>15</v>
      </c>
      <c r="F613" s="130" t="s">
        <v>11</v>
      </c>
      <c r="G613" s="266">
        <v>183.86998</v>
      </c>
      <c r="H613" s="131"/>
    </row>
    <row r="614" spans="1:8" s="81" customFormat="1" x14ac:dyDescent="0.25">
      <c r="A614" s="82" t="s">
        <v>611</v>
      </c>
      <c r="B614" s="82" t="s">
        <v>612</v>
      </c>
      <c r="C614" s="82" t="s">
        <v>24</v>
      </c>
      <c r="D614" s="82" t="s">
        <v>735</v>
      </c>
      <c r="E614" s="82" t="s">
        <v>728</v>
      </c>
      <c r="F614" s="82" t="s">
        <v>11</v>
      </c>
      <c r="G614" s="266">
        <v>5.4427422999999999</v>
      </c>
    </row>
    <row r="615" spans="1:8" s="81" customFormat="1" x14ac:dyDescent="0.25">
      <c r="A615" s="82" t="s">
        <v>339</v>
      </c>
      <c r="B615" s="82" t="s">
        <v>340</v>
      </c>
      <c r="C615" s="82" t="s">
        <v>24</v>
      </c>
      <c r="D615" s="82" t="s">
        <v>735</v>
      </c>
      <c r="E615" s="82" t="s">
        <v>15</v>
      </c>
      <c r="F615" s="82" t="s">
        <v>11</v>
      </c>
      <c r="G615" s="266">
        <v>86.668790000000001</v>
      </c>
    </row>
    <row r="616" spans="1:8" s="81" customFormat="1" x14ac:dyDescent="0.25">
      <c r="A616" s="82" t="s">
        <v>539</v>
      </c>
      <c r="B616" s="82" t="s">
        <v>540</v>
      </c>
      <c r="C616" s="82" t="s">
        <v>24</v>
      </c>
      <c r="D616" s="82" t="s">
        <v>735</v>
      </c>
      <c r="E616" s="82" t="s">
        <v>728</v>
      </c>
      <c r="F616" s="82" t="s">
        <v>11</v>
      </c>
      <c r="G616" s="266">
        <v>24.108152</v>
      </c>
    </row>
    <row r="617" spans="1:8" s="54" customFormat="1" x14ac:dyDescent="0.25">
      <c r="A617" s="53" t="s">
        <v>511</v>
      </c>
      <c r="B617" s="53" t="s">
        <v>512</v>
      </c>
      <c r="C617" s="53" t="s">
        <v>27</v>
      </c>
      <c r="D617" s="53" t="s">
        <v>738</v>
      </c>
      <c r="E617" s="53" t="s">
        <v>727</v>
      </c>
      <c r="F617" s="53" t="s">
        <v>11</v>
      </c>
      <c r="G617" s="266">
        <v>0.38099562999999997</v>
      </c>
    </row>
    <row r="618" spans="1:8" s="81" customFormat="1" x14ac:dyDescent="0.25">
      <c r="A618" s="82" t="s">
        <v>22</v>
      </c>
      <c r="B618" s="82" t="s">
        <v>23</v>
      </c>
      <c r="C618" s="82" t="s">
        <v>24</v>
      </c>
      <c r="D618" s="82" t="s">
        <v>735</v>
      </c>
      <c r="E618" s="82" t="s">
        <v>728</v>
      </c>
      <c r="F618" s="82" t="s">
        <v>11</v>
      </c>
      <c r="G618" s="266">
        <v>27.926946999999998</v>
      </c>
    </row>
    <row r="619" spans="1:8" s="133" customFormat="1" x14ac:dyDescent="0.25">
      <c r="A619" s="132" t="s">
        <v>613</v>
      </c>
      <c r="B619" s="132" t="s">
        <v>614</v>
      </c>
      <c r="C619" s="132" t="s">
        <v>140</v>
      </c>
      <c r="D619" s="132" t="s">
        <v>734</v>
      </c>
      <c r="E619" s="132" t="s">
        <v>726</v>
      </c>
      <c r="F619" s="132" t="s">
        <v>105</v>
      </c>
      <c r="G619" s="271">
        <v>0.75765930000000004</v>
      </c>
    </row>
    <row r="620" spans="1:8" s="28" customFormat="1" x14ac:dyDescent="0.25">
      <c r="A620" s="86" t="s">
        <v>615</v>
      </c>
      <c r="B620" s="86" t="s">
        <v>616</v>
      </c>
      <c r="C620" s="86" t="s">
        <v>30</v>
      </c>
      <c r="D620" s="86" t="s">
        <v>732</v>
      </c>
      <c r="E620" s="86" t="s">
        <v>726</v>
      </c>
      <c r="F620" s="86" t="s">
        <v>35</v>
      </c>
      <c r="G620" s="266">
        <v>183.95357999999999</v>
      </c>
    </row>
    <row r="621" spans="1:8" s="81" customFormat="1" x14ac:dyDescent="0.25">
      <c r="A621" s="82" t="s">
        <v>285</v>
      </c>
      <c r="B621" s="82" t="s">
        <v>286</v>
      </c>
      <c r="C621" s="82" t="s">
        <v>14</v>
      </c>
      <c r="D621" s="82" t="s">
        <v>740</v>
      </c>
      <c r="E621" s="82" t="s">
        <v>728</v>
      </c>
      <c r="F621" s="82" t="s">
        <v>11</v>
      </c>
      <c r="G621" s="266">
        <v>61.197949999999999</v>
      </c>
    </row>
    <row r="622" spans="1:8" s="81" customFormat="1" x14ac:dyDescent="0.25">
      <c r="A622" s="82" t="s">
        <v>373</v>
      </c>
      <c r="B622" s="82" t="s">
        <v>374</v>
      </c>
      <c r="C622" s="82" t="s">
        <v>14</v>
      </c>
      <c r="D622" s="82" t="s">
        <v>740</v>
      </c>
      <c r="E622" s="82" t="s">
        <v>15</v>
      </c>
      <c r="F622" s="82" t="s">
        <v>11</v>
      </c>
      <c r="G622" s="266">
        <v>43.107692999999998</v>
      </c>
    </row>
    <row r="623" spans="1:8" s="129" customFormat="1" x14ac:dyDescent="0.25">
      <c r="A623" s="130" t="s">
        <v>179</v>
      </c>
      <c r="B623" s="130" t="s">
        <v>180</v>
      </c>
      <c r="C623" s="130" t="s">
        <v>30</v>
      </c>
      <c r="D623" s="130" t="s">
        <v>732</v>
      </c>
      <c r="E623" s="130" t="s">
        <v>15</v>
      </c>
      <c r="F623" s="130" t="s">
        <v>11</v>
      </c>
      <c r="G623" s="266">
        <v>85.567725999999993</v>
      </c>
      <c r="H623" s="131"/>
    </row>
    <row r="624" spans="1:8" s="81" customFormat="1" x14ac:dyDescent="0.25">
      <c r="A624" s="82" t="s">
        <v>399</v>
      </c>
      <c r="B624" s="82" t="s">
        <v>400</v>
      </c>
      <c r="C624" s="82" t="s">
        <v>63</v>
      </c>
      <c r="D624" s="82" t="s">
        <v>64</v>
      </c>
      <c r="E624" s="82" t="s">
        <v>727</v>
      </c>
      <c r="F624" s="82" t="s">
        <v>11</v>
      </c>
      <c r="G624" s="266">
        <v>5.8942823000000004</v>
      </c>
    </row>
    <row r="625" spans="1:8" s="81" customFormat="1" x14ac:dyDescent="0.25">
      <c r="A625" s="82" t="s">
        <v>617</v>
      </c>
      <c r="B625" s="82" t="s">
        <v>618</v>
      </c>
      <c r="C625" s="82" t="s">
        <v>30</v>
      </c>
      <c r="D625" s="82" t="s">
        <v>732</v>
      </c>
      <c r="E625" s="82" t="s">
        <v>728</v>
      </c>
      <c r="F625" s="82" t="s">
        <v>11</v>
      </c>
      <c r="G625" s="266">
        <v>3.6664739000000002</v>
      </c>
    </row>
    <row r="626" spans="1:8" s="129" customFormat="1" x14ac:dyDescent="0.25">
      <c r="A626" s="130" t="s">
        <v>261</v>
      </c>
      <c r="B626" s="130" t="s">
        <v>262</v>
      </c>
      <c r="C626" s="130" t="s">
        <v>27</v>
      </c>
      <c r="D626" s="130" t="s">
        <v>738</v>
      </c>
      <c r="E626" s="130" t="s">
        <v>727</v>
      </c>
      <c r="F626" s="130" t="s">
        <v>11</v>
      </c>
      <c r="G626" s="266">
        <v>0.15797041000000001</v>
      </c>
      <c r="H626" s="131"/>
    </row>
    <row r="627" spans="1:8" s="28" customFormat="1" x14ac:dyDescent="0.25">
      <c r="A627" s="86" t="s">
        <v>619</v>
      </c>
      <c r="B627" s="86" t="s">
        <v>620</v>
      </c>
      <c r="C627" s="86" t="s">
        <v>27</v>
      </c>
      <c r="D627" s="86" t="s">
        <v>738</v>
      </c>
      <c r="E627" s="86" t="s">
        <v>726</v>
      </c>
      <c r="F627" s="86" t="s">
        <v>35</v>
      </c>
      <c r="G627" s="266">
        <v>155.10826</v>
      </c>
    </row>
    <row r="628" spans="1:8" s="81" customFormat="1" x14ac:dyDescent="0.25">
      <c r="A628" s="82" t="s">
        <v>573</v>
      </c>
      <c r="B628" s="82" t="s">
        <v>574</v>
      </c>
      <c r="C628" s="82" t="s">
        <v>63</v>
      </c>
      <c r="D628" s="82" t="s">
        <v>64</v>
      </c>
      <c r="E628" s="82" t="s">
        <v>727</v>
      </c>
      <c r="F628" s="82" t="s">
        <v>11</v>
      </c>
      <c r="G628" s="266">
        <v>8.4748049999999999</v>
      </c>
    </row>
    <row r="629" spans="1:8" s="28" customFormat="1" x14ac:dyDescent="0.25">
      <c r="A629" s="86" t="s">
        <v>97</v>
      </c>
      <c r="B629" s="86" t="s">
        <v>98</v>
      </c>
      <c r="C629" s="86" t="s">
        <v>75</v>
      </c>
      <c r="D629" s="86" t="s">
        <v>76</v>
      </c>
      <c r="E629" s="86" t="s">
        <v>726</v>
      </c>
      <c r="F629" s="86" t="s">
        <v>105</v>
      </c>
      <c r="G629" s="266">
        <v>61.419469999999997</v>
      </c>
    </row>
    <row r="630" spans="1:8" s="28" customFormat="1" x14ac:dyDescent="0.25">
      <c r="A630" s="86" t="s">
        <v>621</v>
      </c>
      <c r="B630" s="86" t="s">
        <v>622</v>
      </c>
      <c r="C630" s="86" t="s">
        <v>157</v>
      </c>
      <c r="D630" s="86" t="s">
        <v>158</v>
      </c>
      <c r="E630" s="86" t="s">
        <v>726</v>
      </c>
      <c r="F630" s="86" t="s">
        <v>35</v>
      </c>
      <c r="G630" s="266">
        <v>38.175780000000003</v>
      </c>
    </row>
    <row r="631" spans="1:8" s="81" customFormat="1" x14ac:dyDescent="0.25">
      <c r="A631" s="82" t="s">
        <v>446</v>
      </c>
      <c r="B631" s="82" t="s">
        <v>447</v>
      </c>
      <c r="C631" s="82" t="s">
        <v>14</v>
      </c>
      <c r="D631" s="82" t="s">
        <v>740</v>
      </c>
      <c r="E631" s="82" t="s">
        <v>727</v>
      </c>
      <c r="F631" s="82" t="s">
        <v>11</v>
      </c>
      <c r="G631" s="266">
        <v>1.7144347</v>
      </c>
    </row>
    <row r="632" spans="1:8" s="28" customFormat="1" x14ac:dyDescent="0.25">
      <c r="A632" s="86" t="s">
        <v>623</v>
      </c>
      <c r="B632" s="86" t="s">
        <v>624</v>
      </c>
      <c r="C632" s="86" t="s">
        <v>30</v>
      </c>
      <c r="D632" s="86" t="s">
        <v>732</v>
      </c>
      <c r="E632" s="86" t="s">
        <v>726</v>
      </c>
      <c r="F632" s="86" t="s">
        <v>35</v>
      </c>
      <c r="G632" s="266">
        <v>109.958534</v>
      </c>
    </row>
    <row r="633" spans="1:8" s="28" customFormat="1" x14ac:dyDescent="0.25">
      <c r="A633" s="86" t="s">
        <v>625</v>
      </c>
      <c r="B633" s="86" t="s">
        <v>626</v>
      </c>
      <c r="C633" s="86" t="s">
        <v>411</v>
      </c>
      <c r="D633" s="86" t="s">
        <v>737</v>
      </c>
      <c r="E633" s="86" t="s">
        <v>726</v>
      </c>
      <c r="F633" s="86" t="s">
        <v>35</v>
      </c>
      <c r="G633" s="266">
        <v>95.633255000000005</v>
      </c>
    </row>
    <row r="634" spans="1:8" s="133" customFormat="1" x14ac:dyDescent="0.25">
      <c r="A634" s="132" t="s">
        <v>613</v>
      </c>
      <c r="B634" s="132" t="s">
        <v>614</v>
      </c>
      <c r="C634" s="132" t="s">
        <v>140</v>
      </c>
      <c r="D634" s="132" t="s">
        <v>734</v>
      </c>
      <c r="E634" s="132" t="s">
        <v>726</v>
      </c>
      <c r="F634" s="132" t="s">
        <v>35</v>
      </c>
      <c r="G634" s="271">
        <v>21.129313</v>
      </c>
    </row>
    <row r="635" spans="1:8" s="81" customFormat="1" x14ac:dyDescent="0.25">
      <c r="A635" s="82" t="s">
        <v>207</v>
      </c>
      <c r="B635" s="82" t="s">
        <v>208</v>
      </c>
      <c r="C635" s="82" t="s">
        <v>33</v>
      </c>
      <c r="D635" s="82" t="s">
        <v>34</v>
      </c>
      <c r="E635" s="82" t="s">
        <v>15</v>
      </c>
      <c r="F635" s="82" t="s">
        <v>11</v>
      </c>
      <c r="G635" s="266">
        <v>2004.9337</v>
      </c>
    </row>
    <row r="636" spans="1:8" s="81" customFormat="1" x14ac:dyDescent="0.25">
      <c r="A636" s="82" t="s">
        <v>434</v>
      </c>
      <c r="B636" s="82" t="s">
        <v>435</v>
      </c>
      <c r="C636" s="82" t="s">
        <v>80</v>
      </c>
      <c r="D636" s="82" t="s">
        <v>733</v>
      </c>
      <c r="E636" s="82" t="s">
        <v>728</v>
      </c>
      <c r="F636" s="82" t="s">
        <v>11</v>
      </c>
      <c r="G636" s="266">
        <v>3.0589542000000001</v>
      </c>
    </row>
    <row r="637" spans="1:8" s="28" customFormat="1" x14ac:dyDescent="0.25">
      <c r="A637" s="86" t="s">
        <v>627</v>
      </c>
      <c r="B637" s="86" t="s">
        <v>628</v>
      </c>
      <c r="C637" s="86" t="s">
        <v>46</v>
      </c>
      <c r="D637" s="86" t="s">
        <v>739</v>
      </c>
      <c r="E637" s="86" t="s">
        <v>726</v>
      </c>
      <c r="F637" s="86" t="s">
        <v>35</v>
      </c>
      <c r="G637" s="266">
        <v>44.627949999999998</v>
      </c>
    </row>
    <row r="638" spans="1:8" s="81" customFormat="1" x14ac:dyDescent="0.25">
      <c r="A638" s="82" t="s">
        <v>629</v>
      </c>
      <c r="B638" s="82" t="s">
        <v>630</v>
      </c>
      <c r="C638" s="82" t="s">
        <v>46</v>
      </c>
      <c r="D638" s="82" t="s">
        <v>739</v>
      </c>
      <c r="E638" s="82" t="s">
        <v>727</v>
      </c>
      <c r="F638" s="82" t="s">
        <v>11</v>
      </c>
      <c r="G638" s="266">
        <v>0.49946252000000002</v>
      </c>
    </row>
    <row r="639" spans="1:8" s="81" customFormat="1" x14ac:dyDescent="0.25">
      <c r="A639" s="82" t="s">
        <v>379</v>
      </c>
      <c r="B639" s="82" t="s">
        <v>380</v>
      </c>
      <c r="C639" s="82" t="s">
        <v>30</v>
      </c>
      <c r="D639" s="82" t="s">
        <v>732</v>
      </c>
      <c r="E639" s="82" t="s">
        <v>727</v>
      </c>
      <c r="F639" s="82" t="s">
        <v>11</v>
      </c>
      <c r="G639" s="266">
        <v>20.348616</v>
      </c>
    </row>
    <row r="640" spans="1:8" s="28" customFormat="1" x14ac:dyDescent="0.25">
      <c r="A640" s="86" t="s">
        <v>631</v>
      </c>
      <c r="B640" s="86" t="s">
        <v>632</v>
      </c>
      <c r="C640" s="86" t="s">
        <v>30</v>
      </c>
      <c r="D640" s="86" t="s">
        <v>732</v>
      </c>
      <c r="E640" s="86" t="s">
        <v>726</v>
      </c>
      <c r="F640" s="86" t="s">
        <v>35</v>
      </c>
      <c r="G640" s="266">
        <v>70.634450000000001</v>
      </c>
    </row>
    <row r="641" spans="1:8" s="81" customFormat="1" x14ac:dyDescent="0.25">
      <c r="A641" s="82" t="s">
        <v>361</v>
      </c>
      <c r="B641" s="82" t="s">
        <v>362</v>
      </c>
      <c r="C641" s="82" t="s">
        <v>33</v>
      </c>
      <c r="D641" s="82" t="s">
        <v>34</v>
      </c>
      <c r="E641" s="82" t="s">
        <v>15</v>
      </c>
      <c r="F641" s="82" t="s">
        <v>11</v>
      </c>
      <c r="G641" s="266">
        <v>205.56357</v>
      </c>
    </row>
    <row r="642" spans="1:8" s="81" customFormat="1" x14ac:dyDescent="0.25">
      <c r="A642" s="82" t="s">
        <v>452</v>
      </c>
      <c r="B642" s="82" t="s">
        <v>453</v>
      </c>
      <c r="C642" s="82" t="s">
        <v>30</v>
      </c>
      <c r="D642" s="82" t="s">
        <v>732</v>
      </c>
      <c r="E642" s="82" t="s">
        <v>15</v>
      </c>
      <c r="F642" s="82" t="s">
        <v>11</v>
      </c>
      <c r="G642" s="266">
        <v>351.24326000000002</v>
      </c>
    </row>
    <row r="643" spans="1:8" s="28" customFormat="1" x14ac:dyDescent="0.25">
      <c r="A643" s="86" t="s">
        <v>581</v>
      </c>
      <c r="B643" s="86" t="s">
        <v>582</v>
      </c>
      <c r="C643" s="86" t="s">
        <v>30</v>
      </c>
      <c r="D643" s="86" t="s">
        <v>732</v>
      </c>
      <c r="E643" s="86" t="s">
        <v>726</v>
      </c>
      <c r="F643" s="86" t="s">
        <v>35</v>
      </c>
      <c r="G643" s="266">
        <v>86.572540000000004</v>
      </c>
    </row>
    <row r="644" spans="1:8" s="28" customFormat="1" x14ac:dyDescent="0.25">
      <c r="A644" s="86" t="s">
        <v>633</v>
      </c>
      <c r="B644" s="86" t="s">
        <v>634</v>
      </c>
      <c r="C644" s="86" t="s">
        <v>157</v>
      </c>
      <c r="D644" s="86" t="s">
        <v>158</v>
      </c>
      <c r="E644" s="86" t="s">
        <v>726</v>
      </c>
      <c r="F644" s="86" t="s">
        <v>35</v>
      </c>
      <c r="G644" s="266">
        <v>23.133420000000001</v>
      </c>
    </row>
    <row r="645" spans="1:8" s="81" customFormat="1" x14ac:dyDescent="0.25">
      <c r="A645" s="82" t="s">
        <v>583</v>
      </c>
      <c r="B645" s="82" t="s">
        <v>584</v>
      </c>
      <c r="C645" s="82" t="s">
        <v>80</v>
      </c>
      <c r="D645" s="82" t="s">
        <v>733</v>
      </c>
      <c r="E645" s="82" t="s">
        <v>728</v>
      </c>
      <c r="F645" s="82" t="s">
        <v>11</v>
      </c>
      <c r="G645" s="266">
        <v>26.292048000000001</v>
      </c>
    </row>
    <row r="646" spans="1:8" s="81" customFormat="1" x14ac:dyDescent="0.25">
      <c r="A646" s="82" t="s">
        <v>629</v>
      </c>
      <c r="B646" s="82" t="s">
        <v>630</v>
      </c>
      <c r="C646" s="82" t="s">
        <v>46</v>
      </c>
      <c r="D646" s="82" t="s">
        <v>739</v>
      </c>
      <c r="E646" s="82" t="s">
        <v>728</v>
      </c>
      <c r="F646" s="82" t="s">
        <v>11</v>
      </c>
      <c r="G646" s="266">
        <v>13.274906</v>
      </c>
    </row>
    <row r="647" spans="1:8" s="81" customFormat="1" x14ac:dyDescent="0.25">
      <c r="A647" s="82" t="s">
        <v>315</v>
      </c>
      <c r="B647" s="82" t="s">
        <v>316</v>
      </c>
      <c r="C647" s="82" t="s">
        <v>63</v>
      </c>
      <c r="D647" s="82" t="s">
        <v>64</v>
      </c>
      <c r="E647" s="82" t="s">
        <v>727</v>
      </c>
      <c r="F647" s="82" t="s">
        <v>11</v>
      </c>
      <c r="G647" s="266">
        <v>3.4967923000000001</v>
      </c>
    </row>
    <row r="648" spans="1:8" s="81" customFormat="1" x14ac:dyDescent="0.25">
      <c r="A648" s="82" t="s">
        <v>577</v>
      </c>
      <c r="B648" s="82" t="s">
        <v>578</v>
      </c>
      <c r="C648" s="82" t="s">
        <v>24</v>
      </c>
      <c r="D648" s="82" t="s">
        <v>735</v>
      </c>
      <c r="E648" s="82" t="s">
        <v>728</v>
      </c>
      <c r="F648" s="82" t="s">
        <v>11</v>
      </c>
      <c r="G648" s="266">
        <v>6.1439066000000002</v>
      </c>
    </row>
    <row r="649" spans="1:8" s="81" customFormat="1" x14ac:dyDescent="0.25">
      <c r="A649" s="82" t="s">
        <v>611</v>
      </c>
      <c r="B649" s="82" t="s">
        <v>612</v>
      </c>
      <c r="C649" s="82" t="s">
        <v>24</v>
      </c>
      <c r="D649" s="82" t="s">
        <v>735</v>
      </c>
      <c r="E649" s="82" t="s">
        <v>15</v>
      </c>
      <c r="F649" s="82" t="s">
        <v>11</v>
      </c>
      <c r="G649" s="266">
        <v>13.587084000000001</v>
      </c>
    </row>
    <row r="650" spans="1:8" s="81" customFormat="1" x14ac:dyDescent="0.25">
      <c r="A650" s="82" t="s">
        <v>83</v>
      </c>
      <c r="B650" s="82" t="s">
        <v>84</v>
      </c>
      <c r="C650" s="82" t="s">
        <v>80</v>
      </c>
      <c r="D650" s="82" t="s">
        <v>733</v>
      </c>
      <c r="E650" s="82" t="s">
        <v>15</v>
      </c>
      <c r="F650" s="82" t="s">
        <v>11</v>
      </c>
      <c r="G650" s="266">
        <v>70.256934999999999</v>
      </c>
    </row>
    <row r="651" spans="1:8" s="28" customFormat="1" x14ac:dyDescent="0.25">
      <c r="A651" s="86" t="s">
        <v>617</v>
      </c>
      <c r="B651" s="86" t="s">
        <v>618</v>
      </c>
      <c r="C651" s="86" t="s">
        <v>30</v>
      </c>
      <c r="D651" s="86" t="s">
        <v>732</v>
      </c>
      <c r="E651" s="86" t="s">
        <v>726</v>
      </c>
      <c r="F651" s="86" t="s">
        <v>35</v>
      </c>
      <c r="G651" s="266">
        <v>24.908749</v>
      </c>
    </row>
    <row r="652" spans="1:8" s="129" customFormat="1" x14ac:dyDescent="0.25">
      <c r="A652" s="130" t="s">
        <v>141</v>
      </c>
      <c r="B652" s="130" t="s">
        <v>142</v>
      </c>
      <c r="C652" s="130" t="s">
        <v>46</v>
      </c>
      <c r="D652" s="130" t="s">
        <v>739</v>
      </c>
      <c r="E652" s="130" t="s">
        <v>727</v>
      </c>
      <c r="F652" s="130" t="s">
        <v>11</v>
      </c>
      <c r="G652" s="266">
        <v>2.1113705999999999</v>
      </c>
      <c r="H652" s="131">
        <f>G66+G652</f>
        <v>63.136660599999999</v>
      </c>
    </row>
    <row r="653" spans="1:8" s="81" customFormat="1" x14ac:dyDescent="0.25">
      <c r="A653" s="82" t="s">
        <v>617</v>
      </c>
      <c r="B653" s="82" t="s">
        <v>618</v>
      </c>
      <c r="C653" s="82" t="s">
        <v>30</v>
      </c>
      <c r="D653" s="82" t="s">
        <v>732</v>
      </c>
      <c r="E653" s="82" t="s">
        <v>727</v>
      </c>
      <c r="F653" s="82" t="s">
        <v>11</v>
      </c>
      <c r="G653" s="266">
        <v>0.21748433</v>
      </c>
    </row>
    <row r="654" spans="1:8" s="81" customFormat="1" x14ac:dyDescent="0.25">
      <c r="A654" s="82" t="s">
        <v>480</v>
      </c>
      <c r="B654" s="82" t="s">
        <v>481</v>
      </c>
      <c r="C654" s="82" t="s">
        <v>63</v>
      </c>
      <c r="D654" s="82" t="s">
        <v>64</v>
      </c>
      <c r="E654" s="82" t="s">
        <v>727</v>
      </c>
      <c r="F654" s="82" t="s">
        <v>11</v>
      </c>
      <c r="G654" s="266">
        <v>7.2971263000000004</v>
      </c>
    </row>
    <row r="655" spans="1:8" s="81" customFormat="1" x14ac:dyDescent="0.25">
      <c r="A655" s="82" t="s">
        <v>161</v>
      </c>
      <c r="B655" s="82" t="s">
        <v>162</v>
      </c>
      <c r="C655" s="82" t="s">
        <v>80</v>
      </c>
      <c r="D655" s="82" t="s">
        <v>733</v>
      </c>
      <c r="E655" s="82" t="s">
        <v>728</v>
      </c>
      <c r="F655" s="82" t="s">
        <v>11</v>
      </c>
      <c r="G655" s="266">
        <v>6.4936942999999996</v>
      </c>
      <c r="H655" s="83"/>
    </row>
    <row r="656" spans="1:8" s="28" customFormat="1" x14ac:dyDescent="0.25">
      <c r="A656" s="86" t="s">
        <v>635</v>
      </c>
      <c r="B656" s="86" t="s">
        <v>636</v>
      </c>
      <c r="C656" s="86" t="s">
        <v>30</v>
      </c>
      <c r="D656" s="86" t="s">
        <v>732</v>
      </c>
      <c r="E656" s="86" t="s">
        <v>726</v>
      </c>
      <c r="F656" s="86" t="s">
        <v>35</v>
      </c>
      <c r="G656" s="266">
        <v>38.526060000000001</v>
      </c>
    </row>
    <row r="657" spans="1:8" s="28" customFormat="1" x14ac:dyDescent="0.25">
      <c r="A657" s="86" t="s">
        <v>637</v>
      </c>
      <c r="B657" s="86" t="s">
        <v>638</v>
      </c>
      <c r="C657" s="86" t="s">
        <v>157</v>
      </c>
      <c r="D657" s="86" t="s">
        <v>158</v>
      </c>
      <c r="E657" s="86" t="s">
        <v>726</v>
      </c>
      <c r="F657" s="86" t="s">
        <v>35</v>
      </c>
      <c r="G657" s="266">
        <v>194.44197</v>
      </c>
    </row>
    <row r="658" spans="1:8" s="81" customFormat="1" x14ac:dyDescent="0.25">
      <c r="A658" s="82" t="s">
        <v>325</v>
      </c>
      <c r="B658" s="82" t="s">
        <v>326</v>
      </c>
      <c r="C658" s="82" t="s">
        <v>80</v>
      </c>
      <c r="D658" s="82" t="s">
        <v>733</v>
      </c>
      <c r="E658" s="82" t="s">
        <v>727</v>
      </c>
      <c r="F658" s="82" t="s">
        <v>11</v>
      </c>
      <c r="G658" s="266">
        <v>222.40488999999999</v>
      </c>
    </row>
    <row r="659" spans="1:8" s="28" customFormat="1" x14ac:dyDescent="0.25">
      <c r="A659" s="86" t="s">
        <v>639</v>
      </c>
      <c r="B659" s="86" t="s">
        <v>640</v>
      </c>
      <c r="C659" s="86" t="s">
        <v>27</v>
      </c>
      <c r="D659" s="86" t="s">
        <v>738</v>
      </c>
      <c r="E659" s="86" t="s">
        <v>726</v>
      </c>
      <c r="F659" s="86" t="s">
        <v>35</v>
      </c>
      <c r="G659" s="266">
        <v>44.447825999999999</v>
      </c>
    </row>
    <row r="660" spans="1:8" s="81" customFormat="1" x14ac:dyDescent="0.25">
      <c r="A660" s="82" t="s">
        <v>641</v>
      </c>
      <c r="B660" s="82" t="s">
        <v>642</v>
      </c>
      <c r="C660" s="82" t="s">
        <v>63</v>
      </c>
      <c r="D660" s="82" t="s">
        <v>64</v>
      </c>
      <c r="E660" s="82" t="s">
        <v>15</v>
      </c>
      <c r="F660" s="82" t="s">
        <v>11</v>
      </c>
      <c r="G660" s="266">
        <v>75.504813999999996</v>
      </c>
    </row>
    <row r="661" spans="1:8" s="182" customFormat="1" x14ac:dyDescent="0.25">
      <c r="A661" s="183" t="s">
        <v>237</v>
      </c>
      <c r="B661" s="183" t="s">
        <v>238</v>
      </c>
      <c r="C661" s="183" t="s">
        <v>63</v>
      </c>
      <c r="D661" s="183" t="s">
        <v>64</v>
      </c>
      <c r="E661" s="183" t="s">
        <v>15</v>
      </c>
      <c r="F661" s="183" t="s">
        <v>77</v>
      </c>
      <c r="G661" s="266">
        <v>0.45322245</v>
      </c>
    </row>
    <row r="662" spans="1:8" s="81" customFormat="1" x14ac:dyDescent="0.25">
      <c r="A662" s="82" t="s">
        <v>643</v>
      </c>
      <c r="B662" s="82" t="s">
        <v>644</v>
      </c>
      <c r="C662" s="82" t="s">
        <v>63</v>
      </c>
      <c r="D662" s="82" t="s">
        <v>64</v>
      </c>
      <c r="E662" s="82" t="s">
        <v>728</v>
      </c>
      <c r="F662" s="82" t="s">
        <v>11</v>
      </c>
      <c r="G662" s="266">
        <v>4.0007640000000002</v>
      </c>
    </row>
    <row r="663" spans="1:8" s="81" customFormat="1" x14ac:dyDescent="0.25">
      <c r="A663" s="82" t="s">
        <v>645</v>
      </c>
      <c r="B663" s="82" t="s">
        <v>646</v>
      </c>
      <c r="C663" s="82" t="s">
        <v>63</v>
      </c>
      <c r="D663" s="82" t="s">
        <v>64</v>
      </c>
      <c r="E663" s="82" t="s">
        <v>727</v>
      </c>
      <c r="F663" s="82" t="s">
        <v>11</v>
      </c>
      <c r="G663" s="266">
        <v>10.588285000000001</v>
      </c>
    </row>
    <row r="664" spans="1:8" s="81" customFormat="1" x14ac:dyDescent="0.25">
      <c r="A664" s="82" t="s">
        <v>416</v>
      </c>
      <c r="B664" s="82" t="s">
        <v>417</v>
      </c>
      <c r="C664" s="82" t="s">
        <v>27</v>
      </c>
      <c r="D664" s="82" t="s">
        <v>738</v>
      </c>
      <c r="E664" s="82" t="s">
        <v>728</v>
      </c>
      <c r="F664" s="82" t="s">
        <v>11</v>
      </c>
      <c r="G664" s="266">
        <v>17.978131999999999</v>
      </c>
    </row>
    <row r="665" spans="1:8" s="28" customFormat="1" x14ac:dyDescent="0.25">
      <c r="A665" s="86" t="s">
        <v>647</v>
      </c>
      <c r="B665" s="86" t="s">
        <v>648</v>
      </c>
      <c r="C665" s="86" t="s">
        <v>30</v>
      </c>
      <c r="D665" s="86" t="s">
        <v>732</v>
      </c>
      <c r="E665" s="86" t="s">
        <v>726</v>
      </c>
      <c r="F665" s="86" t="s">
        <v>35</v>
      </c>
      <c r="G665" s="266">
        <v>90.921300000000002</v>
      </c>
    </row>
    <row r="666" spans="1:8" s="182" customFormat="1" x14ac:dyDescent="0.25">
      <c r="A666" s="183" t="s">
        <v>458</v>
      </c>
      <c r="B666" s="183" t="s">
        <v>459</v>
      </c>
      <c r="C666" s="183" t="s">
        <v>63</v>
      </c>
      <c r="D666" s="183" t="s">
        <v>64</v>
      </c>
      <c r="E666" s="183" t="s">
        <v>15</v>
      </c>
      <c r="F666" s="183" t="s">
        <v>77</v>
      </c>
      <c r="G666" s="266">
        <v>155.1189</v>
      </c>
      <c r="H666" s="184"/>
    </row>
    <row r="667" spans="1:8" s="81" customFormat="1" x14ac:dyDescent="0.25">
      <c r="A667" s="82" t="s">
        <v>371</v>
      </c>
      <c r="B667" s="82" t="s">
        <v>372</v>
      </c>
      <c r="C667" s="82" t="s">
        <v>30</v>
      </c>
      <c r="D667" s="82" t="s">
        <v>732</v>
      </c>
      <c r="E667" s="82" t="s">
        <v>727</v>
      </c>
      <c r="F667" s="82" t="s">
        <v>11</v>
      </c>
      <c r="G667" s="266">
        <v>8.2668020000000002</v>
      </c>
    </row>
    <row r="668" spans="1:8" s="28" customFormat="1" x14ac:dyDescent="0.25">
      <c r="A668" s="86" t="s">
        <v>649</v>
      </c>
      <c r="B668" s="86" t="s">
        <v>650</v>
      </c>
      <c r="C668" s="86" t="s">
        <v>63</v>
      </c>
      <c r="D668" s="86" t="s">
        <v>64</v>
      </c>
      <c r="E668" s="86" t="s">
        <v>726</v>
      </c>
      <c r="F668" s="86" t="s">
        <v>35</v>
      </c>
      <c r="G668" s="266">
        <v>270.06635</v>
      </c>
    </row>
    <row r="669" spans="1:8" s="28" customFormat="1" x14ac:dyDescent="0.25">
      <c r="A669" s="86" t="s">
        <v>651</v>
      </c>
      <c r="B669" s="86" t="s">
        <v>652</v>
      </c>
      <c r="C669" s="86" t="s">
        <v>30</v>
      </c>
      <c r="D669" s="86" t="s">
        <v>732</v>
      </c>
      <c r="E669" s="86" t="s">
        <v>726</v>
      </c>
      <c r="F669" s="86" t="s">
        <v>35</v>
      </c>
      <c r="G669" s="266">
        <v>226.46297999999999</v>
      </c>
    </row>
    <row r="670" spans="1:8" s="81" customFormat="1" x14ac:dyDescent="0.25">
      <c r="A670" s="82" t="s">
        <v>173</v>
      </c>
      <c r="B670" s="82" t="s">
        <v>174</v>
      </c>
      <c r="C670" s="82" t="s">
        <v>9</v>
      </c>
      <c r="D670" s="82" t="s">
        <v>10</v>
      </c>
      <c r="E670" s="82" t="s">
        <v>15</v>
      </c>
      <c r="F670" s="82" t="s">
        <v>11</v>
      </c>
      <c r="G670" s="266">
        <v>36.747574</v>
      </c>
    </row>
    <row r="671" spans="1:8" s="129" customFormat="1" x14ac:dyDescent="0.25">
      <c r="A671" s="130" t="s">
        <v>653</v>
      </c>
      <c r="B671" s="130" t="s">
        <v>654</v>
      </c>
      <c r="C671" s="130" t="s">
        <v>27</v>
      </c>
      <c r="D671" s="130" t="s">
        <v>738</v>
      </c>
      <c r="E671" s="130" t="s">
        <v>15</v>
      </c>
      <c r="F671" s="130" t="s">
        <v>11</v>
      </c>
      <c r="G671" s="266">
        <v>176.45605</v>
      </c>
    </row>
    <row r="672" spans="1:8" s="81" customFormat="1" x14ac:dyDescent="0.25">
      <c r="A672" s="82" t="s">
        <v>327</v>
      </c>
      <c r="B672" s="82" t="s">
        <v>328</v>
      </c>
      <c r="C672" s="82" t="s">
        <v>63</v>
      </c>
      <c r="D672" s="82" t="s">
        <v>64</v>
      </c>
      <c r="E672" s="82" t="s">
        <v>728</v>
      </c>
      <c r="F672" s="82" t="s">
        <v>11</v>
      </c>
      <c r="G672" s="266">
        <v>54.387222000000001</v>
      </c>
    </row>
    <row r="673" spans="1:7" s="81" customFormat="1" x14ac:dyDescent="0.25">
      <c r="A673" s="82" t="s">
        <v>655</v>
      </c>
      <c r="B673" s="82" t="s">
        <v>656</v>
      </c>
      <c r="C673" s="82" t="s">
        <v>80</v>
      </c>
      <c r="D673" s="82" t="s">
        <v>733</v>
      </c>
      <c r="E673" s="82" t="s">
        <v>728</v>
      </c>
      <c r="F673" s="82" t="s">
        <v>11</v>
      </c>
      <c r="G673" s="266">
        <v>16.388033</v>
      </c>
    </row>
    <row r="674" spans="1:7" s="81" customFormat="1" x14ac:dyDescent="0.25">
      <c r="A674" s="82" t="s">
        <v>106</v>
      </c>
      <c r="B674" s="82" t="s">
        <v>107</v>
      </c>
      <c r="C674" s="82" t="s">
        <v>30</v>
      </c>
      <c r="D674" s="82" t="s">
        <v>732</v>
      </c>
      <c r="E674" s="82" t="s">
        <v>728</v>
      </c>
      <c r="F674" s="82" t="s">
        <v>11</v>
      </c>
      <c r="G674" s="266">
        <v>9.5382610000000003</v>
      </c>
    </row>
    <row r="675" spans="1:7" s="81" customFormat="1" x14ac:dyDescent="0.25">
      <c r="A675" s="82" t="s">
        <v>611</v>
      </c>
      <c r="B675" s="82" t="s">
        <v>612</v>
      </c>
      <c r="C675" s="82" t="s">
        <v>24</v>
      </c>
      <c r="D675" s="82" t="s">
        <v>735</v>
      </c>
      <c r="E675" s="82" t="s">
        <v>727</v>
      </c>
      <c r="F675" s="82" t="s">
        <v>11</v>
      </c>
      <c r="G675" s="266">
        <v>1.1732594000000001</v>
      </c>
    </row>
    <row r="676" spans="1:7" s="28" customFormat="1" x14ac:dyDescent="0.25">
      <c r="A676" s="86" t="s">
        <v>31</v>
      </c>
      <c r="B676" s="86" t="s">
        <v>32</v>
      </c>
      <c r="C676" s="86" t="s">
        <v>33</v>
      </c>
      <c r="D676" s="86" t="s">
        <v>34</v>
      </c>
      <c r="E676" s="86" t="s">
        <v>726</v>
      </c>
      <c r="F676" s="86" t="s">
        <v>105</v>
      </c>
      <c r="G676" s="266">
        <v>111.80918</v>
      </c>
    </row>
    <row r="677" spans="1:7" s="81" customFormat="1" x14ac:dyDescent="0.25">
      <c r="A677" s="82" t="s">
        <v>657</v>
      </c>
      <c r="B677" s="82" t="s">
        <v>658</v>
      </c>
      <c r="C677" s="82" t="s">
        <v>63</v>
      </c>
      <c r="D677" s="82" t="s">
        <v>64</v>
      </c>
      <c r="E677" s="82" t="s">
        <v>15</v>
      </c>
      <c r="F677" s="82" t="s">
        <v>11</v>
      </c>
      <c r="G677" s="266">
        <v>56.364420000000003</v>
      </c>
    </row>
    <row r="678" spans="1:7" s="81" customFormat="1" x14ac:dyDescent="0.25">
      <c r="A678" s="82" t="s">
        <v>523</v>
      </c>
      <c r="B678" s="82" t="s">
        <v>524</v>
      </c>
      <c r="C678" s="82" t="s">
        <v>46</v>
      </c>
      <c r="D678" s="82" t="s">
        <v>739</v>
      </c>
      <c r="E678" s="82" t="s">
        <v>15</v>
      </c>
      <c r="F678" s="82" t="s">
        <v>11</v>
      </c>
      <c r="G678" s="266">
        <v>90.880650000000003</v>
      </c>
    </row>
    <row r="679" spans="1:7" s="81" customFormat="1" x14ac:dyDescent="0.25">
      <c r="A679" s="82" t="s">
        <v>101</v>
      </c>
      <c r="B679" s="82" t="s">
        <v>102</v>
      </c>
      <c r="C679" s="82" t="s">
        <v>9</v>
      </c>
      <c r="D679" s="82" t="s">
        <v>10</v>
      </c>
      <c r="E679" s="82" t="s">
        <v>728</v>
      </c>
      <c r="F679" s="82" t="s">
        <v>11</v>
      </c>
      <c r="G679" s="266">
        <v>37.996450000000003</v>
      </c>
    </row>
    <row r="680" spans="1:7" s="81" customFormat="1" x14ac:dyDescent="0.25">
      <c r="A680" s="82" t="s">
        <v>659</v>
      </c>
      <c r="B680" s="82" t="s">
        <v>660</v>
      </c>
      <c r="C680" s="82" t="s">
        <v>80</v>
      </c>
      <c r="D680" s="82" t="s">
        <v>733</v>
      </c>
      <c r="E680" s="82" t="s">
        <v>728</v>
      </c>
      <c r="F680" s="82" t="s">
        <v>11</v>
      </c>
      <c r="G680" s="266">
        <v>5.3242760000000002</v>
      </c>
    </row>
    <row r="681" spans="1:7" s="81" customFormat="1" x14ac:dyDescent="0.25">
      <c r="A681" s="82" t="s">
        <v>183</v>
      </c>
      <c r="B681" s="82" t="s">
        <v>184</v>
      </c>
      <c r="C681" s="82" t="s">
        <v>24</v>
      </c>
      <c r="D681" s="82" t="s">
        <v>735</v>
      </c>
      <c r="E681" s="82" t="s">
        <v>728</v>
      </c>
      <c r="F681" s="82" t="s">
        <v>11</v>
      </c>
      <c r="G681" s="266">
        <v>159.57758000000001</v>
      </c>
    </row>
    <row r="682" spans="1:7" s="81" customFormat="1" x14ac:dyDescent="0.25">
      <c r="A682" s="82" t="s">
        <v>589</v>
      </c>
      <c r="B682" s="82" t="s">
        <v>590</v>
      </c>
      <c r="C682" s="82" t="s">
        <v>24</v>
      </c>
      <c r="D682" s="82" t="s">
        <v>735</v>
      </c>
      <c r="E682" s="82" t="s">
        <v>728</v>
      </c>
      <c r="F682" s="82" t="s">
        <v>11</v>
      </c>
      <c r="G682" s="266">
        <v>9.5270989999999998</v>
      </c>
    </row>
    <row r="683" spans="1:7" s="28" customFormat="1" x14ac:dyDescent="0.25">
      <c r="A683" s="86" t="s">
        <v>73</v>
      </c>
      <c r="B683" s="86" t="s">
        <v>74</v>
      </c>
      <c r="C683" s="86" t="s">
        <v>75</v>
      </c>
      <c r="D683" s="86" t="s">
        <v>76</v>
      </c>
      <c r="E683" s="86" t="s">
        <v>726</v>
      </c>
      <c r="F683" s="86" t="s">
        <v>35</v>
      </c>
      <c r="G683" s="266">
        <v>1073.4211</v>
      </c>
    </row>
    <row r="684" spans="1:7" s="54" customFormat="1" x14ac:dyDescent="0.25">
      <c r="A684" s="53" t="s">
        <v>450</v>
      </c>
      <c r="B684" s="53" t="s">
        <v>451</v>
      </c>
      <c r="C684" s="53" t="s">
        <v>14</v>
      </c>
      <c r="D684" s="53" t="s">
        <v>740</v>
      </c>
      <c r="E684" s="53" t="s">
        <v>728</v>
      </c>
      <c r="F684" s="53" t="s">
        <v>11</v>
      </c>
      <c r="G684" s="266">
        <v>22.928229999999999</v>
      </c>
    </row>
    <row r="685" spans="1:7" s="81" customFormat="1" x14ac:dyDescent="0.25">
      <c r="A685" s="82" t="s">
        <v>569</v>
      </c>
      <c r="B685" s="82" t="s">
        <v>570</v>
      </c>
      <c r="C685" s="82" t="s">
        <v>24</v>
      </c>
      <c r="D685" s="82" t="s">
        <v>735</v>
      </c>
      <c r="E685" s="82" t="s">
        <v>728</v>
      </c>
      <c r="F685" s="82" t="s">
        <v>11</v>
      </c>
      <c r="G685" s="266">
        <v>9.8498920000000005</v>
      </c>
    </row>
    <row r="686" spans="1:7" s="28" customFormat="1" x14ac:dyDescent="0.25">
      <c r="A686" s="86" t="s">
        <v>237</v>
      </c>
      <c r="B686" s="86" t="s">
        <v>238</v>
      </c>
      <c r="C686" s="86" t="s">
        <v>63</v>
      </c>
      <c r="D686" s="86" t="s">
        <v>64</v>
      </c>
      <c r="E686" s="86" t="s">
        <v>726</v>
      </c>
      <c r="F686" s="86" t="s">
        <v>105</v>
      </c>
      <c r="G686" s="266">
        <v>1.9361961000000001</v>
      </c>
    </row>
    <row r="687" spans="1:7" s="81" customFormat="1" x14ac:dyDescent="0.25">
      <c r="A687" s="82" t="s">
        <v>263</v>
      </c>
      <c r="B687" s="82" t="s">
        <v>264</v>
      </c>
      <c r="C687" s="82" t="s">
        <v>30</v>
      </c>
      <c r="D687" s="82" t="s">
        <v>732</v>
      </c>
      <c r="E687" s="82" t="s">
        <v>728</v>
      </c>
      <c r="F687" s="82" t="s">
        <v>11</v>
      </c>
      <c r="G687" s="266">
        <v>25.573509999999999</v>
      </c>
    </row>
    <row r="688" spans="1:7" s="28" customFormat="1" x14ac:dyDescent="0.25">
      <c r="A688" s="86" t="s">
        <v>661</v>
      </c>
      <c r="B688" s="86" t="s">
        <v>662</v>
      </c>
      <c r="C688" s="86" t="s">
        <v>157</v>
      </c>
      <c r="D688" s="86" t="s">
        <v>158</v>
      </c>
      <c r="E688" s="86" t="s">
        <v>726</v>
      </c>
      <c r="F688" s="86" t="s">
        <v>35</v>
      </c>
      <c r="G688" s="266">
        <v>78.573586000000006</v>
      </c>
    </row>
    <row r="689" spans="1:7" s="28" customFormat="1" x14ac:dyDescent="0.25">
      <c r="A689" s="86" t="s">
        <v>663</v>
      </c>
      <c r="B689" s="86" t="s">
        <v>664</v>
      </c>
      <c r="C689" s="86" t="s">
        <v>63</v>
      </c>
      <c r="D689" s="86" t="s">
        <v>64</v>
      </c>
      <c r="E689" s="86" t="s">
        <v>726</v>
      </c>
      <c r="F689" s="86" t="s">
        <v>35</v>
      </c>
      <c r="G689" s="266">
        <v>40.156283999999999</v>
      </c>
    </row>
    <row r="690" spans="1:7" s="81" customFormat="1" x14ac:dyDescent="0.25">
      <c r="A690" s="82" t="s">
        <v>454</v>
      </c>
      <c r="B690" s="82" t="s">
        <v>455</v>
      </c>
      <c r="C690" s="82" t="s">
        <v>18</v>
      </c>
      <c r="D690" s="82" t="s">
        <v>19</v>
      </c>
      <c r="E690" s="82" t="s">
        <v>727</v>
      </c>
      <c r="F690" s="82" t="s">
        <v>11</v>
      </c>
      <c r="G690" s="266">
        <v>47.412120000000002</v>
      </c>
    </row>
    <row r="691" spans="1:7" s="102" customFormat="1" x14ac:dyDescent="0.25">
      <c r="A691" s="103" t="s">
        <v>391</v>
      </c>
      <c r="B691" s="103" t="s">
        <v>392</v>
      </c>
      <c r="C691" s="103" t="s">
        <v>14</v>
      </c>
      <c r="D691" s="103" t="s">
        <v>740</v>
      </c>
      <c r="E691" s="103" t="s">
        <v>727</v>
      </c>
      <c r="F691" s="103" t="s">
        <v>741</v>
      </c>
      <c r="G691" s="266">
        <v>45.333820000000003</v>
      </c>
    </row>
    <row r="692" spans="1:7" s="28" customFormat="1" x14ac:dyDescent="0.25">
      <c r="A692" s="86" t="s">
        <v>665</v>
      </c>
      <c r="B692" s="86" t="s">
        <v>666</v>
      </c>
      <c r="C692" s="86" t="s">
        <v>27</v>
      </c>
      <c r="D692" s="86" t="s">
        <v>738</v>
      </c>
      <c r="E692" s="86" t="s">
        <v>726</v>
      </c>
      <c r="F692" s="86" t="s">
        <v>35</v>
      </c>
      <c r="G692" s="266">
        <v>33.800148</v>
      </c>
    </row>
    <row r="693" spans="1:7" s="81" customFormat="1" x14ac:dyDescent="0.25">
      <c r="A693" s="82" t="s">
        <v>379</v>
      </c>
      <c r="B693" s="82" t="s">
        <v>380</v>
      </c>
      <c r="C693" s="82" t="s">
        <v>30</v>
      </c>
      <c r="D693" s="82" t="s">
        <v>732</v>
      </c>
      <c r="E693" s="82" t="s">
        <v>728</v>
      </c>
      <c r="F693" s="82" t="s">
        <v>11</v>
      </c>
      <c r="G693" s="266">
        <v>103.01730000000001</v>
      </c>
    </row>
    <row r="694" spans="1:7" s="81" customFormat="1" x14ac:dyDescent="0.25">
      <c r="A694" s="82" t="s">
        <v>507</v>
      </c>
      <c r="B694" s="82" t="s">
        <v>508</v>
      </c>
      <c r="C694" s="82" t="s">
        <v>80</v>
      </c>
      <c r="D694" s="82" t="s">
        <v>733</v>
      </c>
      <c r="E694" s="82" t="s">
        <v>728</v>
      </c>
      <c r="F694" s="82" t="s">
        <v>11</v>
      </c>
      <c r="G694" s="266">
        <v>82.443820000000002</v>
      </c>
    </row>
    <row r="695" spans="1:7" s="81" customFormat="1" x14ac:dyDescent="0.25">
      <c r="A695" s="82" t="s">
        <v>478</v>
      </c>
      <c r="B695" s="82" t="s">
        <v>479</v>
      </c>
      <c r="C695" s="82" t="s">
        <v>80</v>
      </c>
      <c r="D695" s="82" t="s">
        <v>733</v>
      </c>
      <c r="E695" s="82" t="s">
        <v>15</v>
      </c>
      <c r="F695" s="82" t="s">
        <v>11</v>
      </c>
      <c r="G695" s="266">
        <v>20.924578</v>
      </c>
    </row>
    <row r="696" spans="1:7" s="81" customFormat="1" x14ac:dyDescent="0.25">
      <c r="A696" s="82" t="s">
        <v>347</v>
      </c>
      <c r="B696" s="82" t="s">
        <v>348</v>
      </c>
      <c r="C696" s="82" t="s">
        <v>18</v>
      </c>
      <c r="D696" s="82" t="s">
        <v>19</v>
      </c>
      <c r="E696" s="82" t="s">
        <v>15</v>
      </c>
      <c r="F696" s="82" t="s">
        <v>11</v>
      </c>
      <c r="G696" s="266">
        <v>8.7039980000000003</v>
      </c>
    </row>
    <row r="697" spans="1:7" s="81" customFormat="1" x14ac:dyDescent="0.25">
      <c r="A697" s="82" t="s">
        <v>513</v>
      </c>
      <c r="B697" s="82" t="s">
        <v>514</v>
      </c>
      <c r="C697" s="82" t="s">
        <v>189</v>
      </c>
      <c r="D697" s="82" t="s">
        <v>190</v>
      </c>
      <c r="E697" s="82" t="s">
        <v>15</v>
      </c>
      <c r="F697" s="82" t="s">
        <v>11</v>
      </c>
      <c r="G697" s="266">
        <v>186.48586</v>
      </c>
    </row>
    <row r="698" spans="1:7" s="81" customFormat="1" x14ac:dyDescent="0.25">
      <c r="A698" s="82" t="s">
        <v>341</v>
      </c>
      <c r="B698" s="82" t="s">
        <v>342</v>
      </c>
      <c r="C698" s="82" t="s">
        <v>9</v>
      </c>
      <c r="D698" s="82" t="s">
        <v>10</v>
      </c>
      <c r="E698" s="82" t="s">
        <v>727</v>
      </c>
      <c r="F698" s="82" t="s">
        <v>11</v>
      </c>
      <c r="G698" s="266">
        <v>62.325363000000003</v>
      </c>
    </row>
    <row r="699" spans="1:7" s="81" customFormat="1" x14ac:dyDescent="0.25">
      <c r="A699" s="82" t="s">
        <v>247</v>
      </c>
      <c r="B699" s="82" t="s">
        <v>248</v>
      </c>
      <c r="C699" s="82" t="s">
        <v>46</v>
      </c>
      <c r="D699" s="82" t="s">
        <v>739</v>
      </c>
      <c r="E699" s="82" t="s">
        <v>728</v>
      </c>
      <c r="F699" s="82" t="s">
        <v>11</v>
      </c>
      <c r="G699" s="266">
        <v>37.589336000000003</v>
      </c>
    </row>
    <row r="700" spans="1:7" s="102" customFormat="1" x14ac:dyDescent="0.25">
      <c r="A700" s="103" t="s">
        <v>579</v>
      </c>
      <c r="B700" s="103" t="s">
        <v>580</v>
      </c>
      <c r="C700" s="103" t="s">
        <v>14</v>
      </c>
      <c r="D700" s="103" t="s">
        <v>740</v>
      </c>
      <c r="E700" s="103" t="s">
        <v>15</v>
      </c>
      <c r="F700" s="103" t="s">
        <v>741</v>
      </c>
      <c r="G700" s="266">
        <v>89.474869999999996</v>
      </c>
    </row>
    <row r="701" spans="1:7" s="81" customFormat="1" x14ac:dyDescent="0.25">
      <c r="A701" s="82" t="s">
        <v>519</v>
      </c>
      <c r="B701" s="82" t="s">
        <v>520</v>
      </c>
      <c r="C701" s="82" t="s">
        <v>80</v>
      </c>
      <c r="D701" s="82" t="s">
        <v>733</v>
      </c>
      <c r="E701" s="82" t="s">
        <v>727</v>
      </c>
      <c r="F701" s="82" t="s">
        <v>11</v>
      </c>
      <c r="G701" s="266">
        <v>45.967219999999998</v>
      </c>
    </row>
    <row r="702" spans="1:7" s="102" customFormat="1" x14ac:dyDescent="0.25">
      <c r="A702" s="103" t="s">
        <v>205</v>
      </c>
      <c r="B702" s="103" t="s">
        <v>206</v>
      </c>
      <c r="C702" s="103" t="s">
        <v>14</v>
      </c>
      <c r="D702" s="103" t="s">
        <v>740</v>
      </c>
      <c r="E702" s="103" t="s">
        <v>729</v>
      </c>
      <c r="F702" s="103" t="s">
        <v>741</v>
      </c>
      <c r="G702" s="266">
        <v>53.168247000000001</v>
      </c>
    </row>
    <row r="703" spans="1:7" s="81" customFormat="1" x14ac:dyDescent="0.25">
      <c r="A703" s="82" t="s">
        <v>577</v>
      </c>
      <c r="B703" s="82" t="s">
        <v>578</v>
      </c>
      <c r="C703" s="82" t="s">
        <v>24</v>
      </c>
      <c r="D703" s="82" t="s">
        <v>735</v>
      </c>
      <c r="E703" s="82" t="s">
        <v>15</v>
      </c>
      <c r="F703" s="82" t="s">
        <v>11</v>
      </c>
      <c r="G703" s="266">
        <v>167.80260000000001</v>
      </c>
    </row>
    <row r="704" spans="1:7" s="81" customFormat="1" x14ac:dyDescent="0.25">
      <c r="A704" s="82" t="s">
        <v>593</v>
      </c>
      <c r="B704" s="82" t="s">
        <v>594</v>
      </c>
      <c r="C704" s="82" t="s">
        <v>24</v>
      </c>
      <c r="D704" s="82" t="s">
        <v>735</v>
      </c>
      <c r="E704" s="82" t="s">
        <v>727</v>
      </c>
      <c r="F704" s="82" t="s">
        <v>11</v>
      </c>
      <c r="G704" s="266">
        <v>2.423562</v>
      </c>
    </row>
    <row r="705" spans="1:8" s="81" customFormat="1" x14ac:dyDescent="0.25">
      <c r="A705" s="82" t="s">
        <v>243</v>
      </c>
      <c r="B705" s="82" t="s">
        <v>244</v>
      </c>
      <c r="C705" s="82" t="s">
        <v>46</v>
      </c>
      <c r="D705" s="82" t="s">
        <v>739</v>
      </c>
      <c r="E705" s="82" t="s">
        <v>728</v>
      </c>
      <c r="F705" s="82" t="s">
        <v>11</v>
      </c>
      <c r="G705" s="266">
        <v>44.721553999999998</v>
      </c>
    </row>
    <row r="706" spans="1:8" s="81" customFormat="1" x14ac:dyDescent="0.25">
      <c r="A706" s="82" t="s">
        <v>273</v>
      </c>
      <c r="B706" s="82" t="s">
        <v>274</v>
      </c>
      <c r="C706" s="82" t="s">
        <v>80</v>
      </c>
      <c r="D706" s="82" t="s">
        <v>733</v>
      </c>
      <c r="E706" s="82" t="s">
        <v>728</v>
      </c>
      <c r="F706" s="82" t="s">
        <v>11</v>
      </c>
      <c r="G706" s="266">
        <v>12.625221</v>
      </c>
      <c r="H706" s="83"/>
    </row>
    <row r="707" spans="1:8" s="129" customFormat="1" x14ac:dyDescent="0.25">
      <c r="A707" s="130" t="s">
        <v>201</v>
      </c>
      <c r="B707" s="130" t="s">
        <v>202</v>
      </c>
      <c r="C707" s="130" t="s">
        <v>80</v>
      </c>
      <c r="D707" s="130" t="s">
        <v>733</v>
      </c>
      <c r="E707" s="130" t="s">
        <v>727</v>
      </c>
      <c r="F707" s="130" t="s">
        <v>11</v>
      </c>
      <c r="G707" s="266">
        <v>1.3886354000000001</v>
      </c>
      <c r="H707" s="131"/>
    </row>
    <row r="708" spans="1:8" s="28" customFormat="1" x14ac:dyDescent="0.25">
      <c r="A708" s="86" t="s">
        <v>667</v>
      </c>
      <c r="B708" s="86" t="s">
        <v>668</v>
      </c>
      <c r="C708" s="86" t="s">
        <v>46</v>
      </c>
      <c r="D708" s="86" t="s">
        <v>739</v>
      </c>
      <c r="E708" s="86" t="s">
        <v>726</v>
      </c>
      <c r="F708" s="86" t="s">
        <v>35</v>
      </c>
      <c r="G708" s="266">
        <v>49.842216000000001</v>
      </c>
    </row>
    <row r="709" spans="1:8" s="129" customFormat="1" x14ac:dyDescent="0.25">
      <c r="A709" s="130" t="s">
        <v>78</v>
      </c>
      <c r="B709" s="130" t="s">
        <v>79</v>
      </c>
      <c r="C709" s="130" t="s">
        <v>80</v>
      </c>
      <c r="D709" s="130" t="s">
        <v>733</v>
      </c>
      <c r="E709" s="130" t="s">
        <v>727</v>
      </c>
      <c r="F709" s="130" t="s">
        <v>11</v>
      </c>
      <c r="G709" s="266">
        <v>33.736409999999999</v>
      </c>
      <c r="H709" s="131"/>
    </row>
    <row r="710" spans="1:8" s="81" customFormat="1" x14ac:dyDescent="0.25">
      <c r="A710" s="82" t="s">
        <v>297</v>
      </c>
      <c r="B710" s="82" t="s">
        <v>298</v>
      </c>
      <c r="C710" s="82" t="s">
        <v>46</v>
      </c>
      <c r="D710" s="82" t="s">
        <v>739</v>
      </c>
      <c r="E710" s="82" t="s">
        <v>728</v>
      </c>
      <c r="F710" s="82" t="s">
        <v>11</v>
      </c>
      <c r="G710" s="266">
        <v>10.566072</v>
      </c>
    </row>
    <row r="711" spans="1:8" s="81" customFormat="1" x14ac:dyDescent="0.25">
      <c r="A711" s="82" t="s">
        <v>531</v>
      </c>
      <c r="B711" s="82" t="s">
        <v>532</v>
      </c>
      <c r="C711" s="82" t="s">
        <v>24</v>
      </c>
      <c r="D711" s="82" t="s">
        <v>735</v>
      </c>
      <c r="E711" s="82" t="s">
        <v>727</v>
      </c>
      <c r="F711" s="82" t="s">
        <v>11</v>
      </c>
      <c r="G711" s="266">
        <v>7.4677524999999996</v>
      </c>
    </row>
    <row r="712" spans="1:8" s="28" customFormat="1" x14ac:dyDescent="0.25">
      <c r="A712" s="86" t="s">
        <v>669</v>
      </c>
      <c r="B712" s="86" t="s">
        <v>670</v>
      </c>
      <c r="C712" s="86" t="s">
        <v>140</v>
      </c>
      <c r="D712" s="86" t="s">
        <v>734</v>
      </c>
      <c r="E712" s="86" t="s">
        <v>726</v>
      </c>
      <c r="F712" s="86" t="s">
        <v>35</v>
      </c>
      <c r="G712" s="266">
        <v>16.897690000000001</v>
      </c>
    </row>
    <row r="713" spans="1:8" s="81" customFormat="1" x14ac:dyDescent="0.25">
      <c r="A713" s="82" t="s">
        <v>247</v>
      </c>
      <c r="B713" s="82" t="s">
        <v>248</v>
      </c>
      <c r="C713" s="82" t="s">
        <v>46</v>
      </c>
      <c r="D713" s="82" t="s">
        <v>739</v>
      </c>
      <c r="E713" s="82" t="s">
        <v>727</v>
      </c>
      <c r="F713" s="82" t="s">
        <v>11</v>
      </c>
      <c r="G713" s="266">
        <v>3.8936641000000001</v>
      </c>
    </row>
    <row r="714" spans="1:8" s="129" customFormat="1" x14ac:dyDescent="0.25">
      <c r="A714" s="130" t="s">
        <v>405</v>
      </c>
      <c r="B714" s="130" t="s">
        <v>406</v>
      </c>
      <c r="C714" s="130" t="s">
        <v>30</v>
      </c>
      <c r="D714" s="130" t="s">
        <v>732</v>
      </c>
      <c r="E714" s="130" t="s">
        <v>727</v>
      </c>
      <c r="F714" s="130" t="s">
        <v>11</v>
      </c>
      <c r="G714" s="266">
        <v>2.9270703999999999</v>
      </c>
      <c r="H714" s="131"/>
    </row>
    <row r="715" spans="1:8" s="81" customFormat="1" x14ac:dyDescent="0.25">
      <c r="A715" s="82" t="s">
        <v>128</v>
      </c>
      <c r="B715" s="82" t="s">
        <v>129</v>
      </c>
      <c r="C715" s="82" t="s">
        <v>80</v>
      </c>
      <c r="D715" s="82" t="s">
        <v>733</v>
      </c>
      <c r="E715" s="82" t="s">
        <v>729</v>
      </c>
      <c r="F715" s="82" t="s">
        <v>11</v>
      </c>
      <c r="G715" s="266">
        <v>2.0686816E-2</v>
      </c>
    </row>
    <row r="716" spans="1:8" s="81" customFormat="1" x14ac:dyDescent="0.25">
      <c r="A716" s="82" t="s">
        <v>484</v>
      </c>
      <c r="B716" s="82" t="s">
        <v>485</v>
      </c>
      <c r="C716" s="82" t="s">
        <v>80</v>
      </c>
      <c r="D716" s="82" t="s">
        <v>733</v>
      </c>
      <c r="E716" s="82" t="s">
        <v>728</v>
      </c>
      <c r="F716" s="82" t="s">
        <v>11</v>
      </c>
      <c r="G716" s="266">
        <v>40.855857999999998</v>
      </c>
    </row>
    <row r="717" spans="1:8" s="81" customFormat="1" x14ac:dyDescent="0.25">
      <c r="A717" s="82" t="s">
        <v>454</v>
      </c>
      <c r="B717" s="82" t="s">
        <v>455</v>
      </c>
      <c r="C717" s="82" t="s">
        <v>18</v>
      </c>
      <c r="D717" s="82" t="s">
        <v>19</v>
      </c>
      <c r="E717" s="82" t="s">
        <v>728</v>
      </c>
      <c r="F717" s="82" t="s">
        <v>11</v>
      </c>
      <c r="G717" s="266">
        <v>72.333320000000001</v>
      </c>
    </row>
    <row r="718" spans="1:8" s="81" customFormat="1" x14ac:dyDescent="0.25">
      <c r="A718" s="82" t="s">
        <v>563</v>
      </c>
      <c r="B718" s="82" t="s">
        <v>564</v>
      </c>
      <c r="C718" s="82" t="s">
        <v>24</v>
      </c>
      <c r="D718" s="82" t="s">
        <v>735</v>
      </c>
      <c r="E718" s="82" t="s">
        <v>728</v>
      </c>
      <c r="F718" s="82" t="s">
        <v>11</v>
      </c>
      <c r="G718" s="266">
        <v>32.010330000000003</v>
      </c>
    </row>
    <row r="719" spans="1:8" s="28" customFormat="1" x14ac:dyDescent="0.25">
      <c r="A719" s="86" t="s">
        <v>464</v>
      </c>
      <c r="B719" s="86" t="s">
        <v>465</v>
      </c>
      <c r="C719" s="86" t="s">
        <v>27</v>
      </c>
      <c r="D719" s="86" t="s">
        <v>738</v>
      </c>
      <c r="E719" s="86" t="s">
        <v>726</v>
      </c>
      <c r="F719" s="86" t="s">
        <v>105</v>
      </c>
      <c r="G719" s="266">
        <v>3.2615775999999999</v>
      </c>
    </row>
    <row r="720" spans="1:8" s="28" customFormat="1" x14ac:dyDescent="0.25">
      <c r="A720" s="86" t="s">
        <v>671</v>
      </c>
      <c r="B720" s="86" t="s">
        <v>672</v>
      </c>
      <c r="C720" s="86" t="s">
        <v>27</v>
      </c>
      <c r="D720" s="86" t="s">
        <v>738</v>
      </c>
      <c r="E720" s="86" t="s">
        <v>726</v>
      </c>
      <c r="F720" s="86" t="s">
        <v>35</v>
      </c>
      <c r="G720" s="266">
        <v>122.906784</v>
      </c>
    </row>
    <row r="721" spans="1:8" s="81" customFormat="1" x14ac:dyDescent="0.25">
      <c r="A721" s="82" t="s">
        <v>147</v>
      </c>
      <c r="B721" s="82" t="s">
        <v>148</v>
      </c>
      <c r="C721" s="82" t="s">
        <v>27</v>
      </c>
      <c r="D721" s="82" t="s">
        <v>738</v>
      </c>
      <c r="E721" s="82" t="s">
        <v>727</v>
      </c>
      <c r="F721" s="82" t="s">
        <v>11</v>
      </c>
      <c r="G721" s="266">
        <v>0.69004920000000003</v>
      </c>
    </row>
    <row r="722" spans="1:8" s="129" customFormat="1" x14ac:dyDescent="0.25">
      <c r="A722" s="130" t="s">
        <v>448</v>
      </c>
      <c r="B722" s="130" t="s">
        <v>449</v>
      </c>
      <c r="C722" s="130" t="s">
        <v>80</v>
      </c>
      <c r="D722" s="130" t="s">
        <v>733</v>
      </c>
      <c r="E722" s="130" t="s">
        <v>727</v>
      </c>
      <c r="F722" s="130" t="s">
        <v>11</v>
      </c>
      <c r="G722" s="266">
        <v>9.5893510000000006</v>
      </c>
      <c r="H722" s="131">
        <f>G302+G722</f>
        <v>685.54150099999993</v>
      </c>
    </row>
    <row r="723" spans="1:8" s="182" customFormat="1" x14ac:dyDescent="0.25">
      <c r="A723" s="183" t="s">
        <v>130</v>
      </c>
      <c r="B723" s="183" t="s">
        <v>131</v>
      </c>
      <c r="C723" s="183" t="s">
        <v>63</v>
      </c>
      <c r="D723" s="183" t="s">
        <v>64</v>
      </c>
      <c r="E723" s="183" t="s">
        <v>15</v>
      </c>
      <c r="F723" s="183" t="s">
        <v>77</v>
      </c>
      <c r="G723" s="266">
        <v>0.28573219999999999</v>
      </c>
      <c r="H723" s="184"/>
    </row>
    <row r="724" spans="1:8" s="28" customFormat="1" x14ac:dyDescent="0.25">
      <c r="A724" s="86" t="s">
        <v>673</v>
      </c>
      <c r="B724" s="86" t="s">
        <v>674</v>
      </c>
      <c r="C724" s="86" t="s">
        <v>157</v>
      </c>
      <c r="D724" s="86" t="s">
        <v>158</v>
      </c>
      <c r="E724" s="86" t="s">
        <v>726</v>
      </c>
      <c r="F724" s="86" t="s">
        <v>35</v>
      </c>
      <c r="G724" s="266">
        <v>44.177371999999998</v>
      </c>
    </row>
    <row r="725" spans="1:8" s="81" customFormat="1" x14ac:dyDescent="0.25">
      <c r="A725" s="82" t="s">
        <v>110</v>
      </c>
      <c r="B725" s="82" t="s">
        <v>111</v>
      </c>
      <c r="C725" s="82" t="s">
        <v>30</v>
      </c>
      <c r="D725" s="82" t="s">
        <v>732</v>
      </c>
      <c r="E725" s="82" t="s">
        <v>727</v>
      </c>
      <c r="F725" s="82" t="s">
        <v>11</v>
      </c>
      <c r="G725" s="266">
        <v>0.53287859999999998</v>
      </c>
    </row>
    <row r="726" spans="1:8" s="28" customFormat="1" x14ac:dyDescent="0.25">
      <c r="A726" s="86" t="s">
        <v>675</v>
      </c>
      <c r="B726" s="86" t="s">
        <v>676</v>
      </c>
      <c r="C726" s="86" t="s">
        <v>27</v>
      </c>
      <c r="D726" s="86" t="s">
        <v>738</v>
      </c>
      <c r="E726" s="86" t="s">
        <v>726</v>
      </c>
      <c r="F726" s="86" t="s">
        <v>35</v>
      </c>
      <c r="G726" s="266">
        <v>8.9000319999999995</v>
      </c>
    </row>
    <row r="727" spans="1:8" s="28" customFormat="1" x14ac:dyDescent="0.25">
      <c r="A727" s="86" t="s">
        <v>677</v>
      </c>
      <c r="B727" s="86" t="s">
        <v>678</v>
      </c>
      <c r="C727" s="86" t="s">
        <v>27</v>
      </c>
      <c r="D727" s="86" t="s">
        <v>738</v>
      </c>
      <c r="E727" s="86" t="s">
        <v>726</v>
      </c>
      <c r="F727" s="86" t="s">
        <v>35</v>
      </c>
      <c r="G727" s="266">
        <v>21.932041000000002</v>
      </c>
    </row>
    <row r="728" spans="1:8" s="81" customFormat="1" x14ac:dyDescent="0.25">
      <c r="A728" s="82" t="s">
        <v>659</v>
      </c>
      <c r="B728" s="82" t="s">
        <v>660</v>
      </c>
      <c r="C728" s="312">
        <v>243000643</v>
      </c>
      <c r="D728" s="82" t="s">
        <v>733</v>
      </c>
      <c r="E728" s="82" t="s">
        <v>15</v>
      </c>
      <c r="F728" s="82" t="s">
        <v>11</v>
      </c>
      <c r="G728" s="266">
        <v>10.389722000000001</v>
      </c>
    </row>
    <row r="729" spans="1:8" s="81" customFormat="1" x14ac:dyDescent="0.25">
      <c r="A729" s="82" t="s">
        <v>444</v>
      </c>
      <c r="B729" s="82" t="s">
        <v>445</v>
      </c>
      <c r="C729" s="82" t="s">
        <v>24</v>
      </c>
      <c r="D729" s="82" t="s">
        <v>735</v>
      </c>
      <c r="E729" s="82" t="s">
        <v>727</v>
      </c>
      <c r="F729" s="82" t="s">
        <v>11</v>
      </c>
      <c r="G729" s="266">
        <v>2.5681430999999999</v>
      </c>
    </row>
    <row r="730" spans="1:8" s="81" customFormat="1" x14ac:dyDescent="0.25">
      <c r="A730" s="82" t="s">
        <v>22</v>
      </c>
      <c r="B730" s="82" t="s">
        <v>23</v>
      </c>
      <c r="C730" s="82" t="s">
        <v>24</v>
      </c>
      <c r="D730" s="82" t="s">
        <v>735</v>
      </c>
      <c r="E730" s="82" t="s">
        <v>727</v>
      </c>
      <c r="F730" s="82" t="s">
        <v>11</v>
      </c>
      <c r="G730" s="266">
        <v>7.4740057000000002</v>
      </c>
    </row>
    <row r="731" spans="1:8" s="81" customFormat="1" x14ac:dyDescent="0.25">
      <c r="A731" s="82" t="s">
        <v>617</v>
      </c>
      <c r="B731" s="82" t="s">
        <v>618</v>
      </c>
      <c r="C731" s="82" t="s">
        <v>30</v>
      </c>
      <c r="D731" s="82" t="s">
        <v>732</v>
      </c>
      <c r="E731" s="82" t="s">
        <v>15</v>
      </c>
      <c r="F731" s="82" t="s">
        <v>11</v>
      </c>
      <c r="G731" s="266">
        <v>17.152083999999999</v>
      </c>
      <c r="H731" s="83"/>
    </row>
    <row r="732" spans="1:8" s="28" customFormat="1" x14ac:dyDescent="0.25">
      <c r="A732" s="86" t="s">
        <v>679</v>
      </c>
      <c r="B732" s="86" t="s">
        <v>680</v>
      </c>
      <c r="C732" s="86" t="s">
        <v>157</v>
      </c>
      <c r="D732" s="86" t="s">
        <v>158</v>
      </c>
      <c r="E732" s="86" t="s">
        <v>726</v>
      </c>
      <c r="F732" s="86" t="s">
        <v>35</v>
      </c>
      <c r="G732" s="266">
        <v>27.914857999999999</v>
      </c>
    </row>
    <row r="733" spans="1:8" s="81" customFormat="1" x14ac:dyDescent="0.25">
      <c r="A733" s="82" t="s">
        <v>645</v>
      </c>
      <c r="B733" s="82" t="s">
        <v>646</v>
      </c>
      <c r="C733" s="82" t="s">
        <v>63</v>
      </c>
      <c r="D733" s="82" t="s">
        <v>64</v>
      </c>
      <c r="E733" s="82" t="s">
        <v>728</v>
      </c>
      <c r="F733" s="82" t="s">
        <v>11</v>
      </c>
      <c r="G733" s="266">
        <v>17.855384999999998</v>
      </c>
    </row>
    <row r="734" spans="1:8" s="28" customFormat="1" x14ac:dyDescent="0.25">
      <c r="A734" s="86" t="s">
        <v>609</v>
      </c>
      <c r="B734" s="86" t="s">
        <v>610</v>
      </c>
      <c r="C734" s="86" t="s">
        <v>75</v>
      </c>
      <c r="D734" s="86" t="s">
        <v>76</v>
      </c>
      <c r="E734" s="86" t="s">
        <v>726</v>
      </c>
      <c r="F734" s="86" t="s">
        <v>681</v>
      </c>
      <c r="G734" s="266">
        <v>470.96460000000002</v>
      </c>
    </row>
    <row r="735" spans="1:8" s="81" customFormat="1" x14ac:dyDescent="0.25">
      <c r="A735" s="82" t="s">
        <v>655</v>
      </c>
      <c r="B735" s="82" t="s">
        <v>656</v>
      </c>
      <c r="C735" s="82" t="s">
        <v>80</v>
      </c>
      <c r="D735" s="82" t="s">
        <v>733</v>
      </c>
      <c r="E735" s="82" t="s">
        <v>727</v>
      </c>
      <c r="F735" s="82" t="s">
        <v>11</v>
      </c>
      <c r="G735" s="266">
        <v>7.509347</v>
      </c>
    </row>
    <row r="736" spans="1:8" s="129" customFormat="1" x14ac:dyDescent="0.25">
      <c r="A736" s="130" t="s">
        <v>682</v>
      </c>
      <c r="B736" s="130" t="s">
        <v>683</v>
      </c>
      <c r="C736" s="130" t="s">
        <v>30</v>
      </c>
      <c r="D736" s="130" t="s">
        <v>732</v>
      </c>
      <c r="E736" s="130" t="s">
        <v>15</v>
      </c>
      <c r="F736" s="130" t="s">
        <v>11</v>
      </c>
      <c r="G736" s="131">
        <v>63.242489999999997</v>
      </c>
    </row>
    <row r="737" spans="1:8" s="28" customFormat="1" x14ac:dyDescent="0.25">
      <c r="A737" s="86" t="s">
        <v>684</v>
      </c>
      <c r="B737" s="86" t="s">
        <v>685</v>
      </c>
      <c r="C737" s="86" t="s">
        <v>27</v>
      </c>
      <c r="D737" s="86" t="s">
        <v>738</v>
      </c>
      <c r="E737" s="86" t="s">
        <v>726</v>
      </c>
      <c r="F737" s="86" t="s">
        <v>35</v>
      </c>
      <c r="G737" s="266">
        <v>13.066839</v>
      </c>
    </row>
    <row r="738" spans="1:8" s="81" customFormat="1" x14ac:dyDescent="0.25">
      <c r="A738" s="82" t="s">
        <v>593</v>
      </c>
      <c r="B738" s="82" t="s">
        <v>594</v>
      </c>
      <c r="C738" s="82" t="s">
        <v>24</v>
      </c>
      <c r="D738" s="82" t="s">
        <v>735</v>
      </c>
      <c r="E738" s="82" t="s">
        <v>15</v>
      </c>
      <c r="F738" s="82" t="s">
        <v>11</v>
      </c>
      <c r="G738" s="266">
        <v>58.712997000000001</v>
      </c>
    </row>
    <row r="739" spans="1:8" s="81" customFormat="1" x14ac:dyDescent="0.25">
      <c r="A739" s="82" t="s">
        <v>686</v>
      </c>
      <c r="B739" s="82" t="s">
        <v>687</v>
      </c>
      <c r="C739" s="82" t="s">
        <v>63</v>
      </c>
      <c r="D739" s="82" t="s">
        <v>64</v>
      </c>
      <c r="E739" s="82" t="s">
        <v>728</v>
      </c>
      <c r="F739" s="82" t="s">
        <v>11</v>
      </c>
      <c r="G739" s="266">
        <v>62.412210000000002</v>
      </c>
    </row>
    <row r="740" spans="1:8" s="28" customFormat="1" x14ac:dyDescent="0.25">
      <c r="A740" s="86" t="s">
        <v>688</v>
      </c>
      <c r="B740" s="86" t="s">
        <v>689</v>
      </c>
      <c r="C740" s="86" t="s">
        <v>157</v>
      </c>
      <c r="D740" s="86" t="s">
        <v>158</v>
      </c>
      <c r="E740" s="86" t="s">
        <v>726</v>
      </c>
      <c r="F740" s="86" t="s">
        <v>35</v>
      </c>
      <c r="G740" s="266">
        <v>30.548732999999999</v>
      </c>
    </row>
    <row r="741" spans="1:8" s="182" customFormat="1" x14ac:dyDescent="0.25">
      <c r="A741" s="183" t="s">
        <v>73</v>
      </c>
      <c r="B741" s="183" t="s">
        <v>74</v>
      </c>
      <c r="C741" s="183" t="s">
        <v>75</v>
      </c>
      <c r="D741" s="183" t="s">
        <v>76</v>
      </c>
      <c r="E741" s="183" t="s">
        <v>15</v>
      </c>
      <c r="F741" s="183" t="s">
        <v>77</v>
      </c>
      <c r="G741" s="266">
        <v>5.0547134000000001E-2</v>
      </c>
    </row>
    <row r="742" spans="1:8" s="149" customFormat="1" x14ac:dyDescent="0.25">
      <c r="A742" s="166" t="s">
        <v>553</v>
      </c>
      <c r="B742" s="166" t="s">
        <v>554</v>
      </c>
      <c r="C742" s="166" t="s">
        <v>80</v>
      </c>
      <c r="D742" s="166" t="s">
        <v>733</v>
      </c>
      <c r="E742" s="166" t="s">
        <v>15</v>
      </c>
      <c r="F742" s="166" t="s">
        <v>11</v>
      </c>
      <c r="G742" s="266">
        <v>1.9700004</v>
      </c>
    </row>
    <row r="743" spans="1:8" s="81" customFormat="1" x14ac:dyDescent="0.25">
      <c r="A743" s="82" t="s">
        <v>277</v>
      </c>
      <c r="B743" s="82" t="s">
        <v>278</v>
      </c>
      <c r="C743" s="82" t="s">
        <v>46</v>
      </c>
      <c r="D743" s="82" t="s">
        <v>739</v>
      </c>
      <c r="E743" s="82" t="s">
        <v>727</v>
      </c>
      <c r="F743" s="82" t="s">
        <v>11</v>
      </c>
      <c r="G743" s="266">
        <v>0.22720974999999999</v>
      </c>
    </row>
    <row r="744" spans="1:8" s="81" customFormat="1" x14ac:dyDescent="0.25">
      <c r="A744" s="82" t="s">
        <v>269</v>
      </c>
      <c r="B744" s="82" t="s">
        <v>270</v>
      </c>
      <c r="C744" s="82" t="s">
        <v>9</v>
      </c>
      <c r="D744" s="82" t="s">
        <v>10</v>
      </c>
      <c r="E744" s="82" t="s">
        <v>727</v>
      </c>
      <c r="F744" s="82" t="s">
        <v>11</v>
      </c>
      <c r="G744" s="266">
        <v>18.741253</v>
      </c>
    </row>
    <row r="745" spans="1:8" s="54" customFormat="1" x14ac:dyDescent="0.25">
      <c r="A745" s="53" t="s">
        <v>203</v>
      </c>
      <c r="B745" s="53" t="s">
        <v>204</v>
      </c>
      <c r="C745" s="53" t="s">
        <v>80</v>
      </c>
      <c r="D745" s="53" t="s">
        <v>733</v>
      </c>
      <c r="E745" s="53" t="s">
        <v>728</v>
      </c>
      <c r="F745" s="53" t="s">
        <v>11</v>
      </c>
      <c r="G745" s="266">
        <v>31.147849999999998</v>
      </c>
    </row>
    <row r="746" spans="1:8" s="81" customFormat="1" x14ac:dyDescent="0.25">
      <c r="A746" s="82" t="s">
        <v>567</v>
      </c>
      <c r="B746" s="82" t="s">
        <v>568</v>
      </c>
      <c r="C746" s="82" t="s">
        <v>63</v>
      </c>
      <c r="D746" s="82" t="s">
        <v>64</v>
      </c>
      <c r="E746" s="82" t="s">
        <v>15</v>
      </c>
      <c r="F746" s="82" t="s">
        <v>11</v>
      </c>
      <c r="G746" s="266">
        <v>6.3689117</v>
      </c>
      <c r="H746" s="83"/>
    </row>
    <row r="747" spans="1:8" s="81" customFormat="1" ht="14.25" customHeight="1" x14ac:dyDescent="0.25">
      <c r="A747" s="82" t="s">
        <v>91</v>
      </c>
      <c r="B747" s="82" t="s">
        <v>92</v>
      </c>
      <c r="C747" s="82" t="s">
        <v>27</v>
      </c>
      <c r="D747" s="82" t="s">
        <v>738</v>
      </c>
      <c r="E747" s="82" t="s">
        <v>15</v>
      </c>
      <c r="F747" s="82" t="s">
        <v>11</v>
      </c>
      <c r="G747" s="266">
        <v>50.146008000000002</v>
      </c>
    </row>
    <row r="748" spans="1:8" s="28" customFormat="1" x14ac:dyDescent="0.25">
      <c r="A748" s="86" t="s">
        <v>690</v>
      </c>
      <c r="B748" s="86" t="s">
        <v>691</v>
      </c>
      <c r="C748" s="86" t="s">
        <v>30</v>
      </c>
      <c r="D748" s="86" t="s">
        <v>732</v>
      </c>
      <c r="E748" s="86" t="s">
        <v>726</v>
      </c>
      <c r="F748" s="86" t="s">
        <v>35</v>
      </c>
      <c r="G748" s="266">
        <v>31.376463000000001</v>
      </c>
    </row>
    <row r="749" spans="1:8" s="81" customFormat="1" x14ac:dyDescent="0.25">
      <c r="A749" s="82" t="s">
        <v>643</v>
      </c>
      <c r="B749" s="82" t="s">
        <v>644</v>
      </c>
      <c r="C749" s="82" t="s">
        <v>63</v>
      </c>
      <c r="D749" s="82" t="s">
        <v>64</v>
      </c>
      <c r="E749" s="82" t="s">
        <v>727</v>
      </c>
      <c r="F749" s="82" t="s">
        <v>11</v>
      </c>
      <c r="G749" s="266">
        <v>0.79622559999999998</v>
      </c>
    </row>
    <row r="750" spans="1:8" s="81" customFormat="1" x14ac:dyDescent="0.25">
      <c r="A750" s="82" t="s">
        <v>641</v>
      </c>
      <c r="B750" s="82" t="s">
        <v>642</v>
      </c>
      <c r="C750" s="82" t="s">
        <v>63</v>
      </c>
      <c r="D750" s="82" t="s">
        <v>64</v>
      </c>
      <c r="E750" s="82" t="s">
        <v>727</v>
      </c>
      <c r="F750" s="82" t="s">
        <v>11</v>
      </c>
      <c r="G750" s="266">
        <v>4.2852420000000002</v>
      </c>
    </row>
    <row r="751" spans="1:8" s="81" customFormat="1" x14ac:dyDescent="0.25">
      <c r="A751" s="82" t="s">
        <v>219</v>
      </c>
      <c r="B751" s="82" t="s">
        <v>220</v>
      </c>
      <c r="C751" s="82" t="s">
        <v>80</v>
      </c>
      <c r="D751" s="82" t="s">
        <v>733</v>
      </c>
      <c r="E751" s="82" t="s">
        <v>727</v>
      </c>
      <c r="F751" s="82" t="s">
        <v>11</v>
      </c>
      <c r="G751" s="266">
        <v>17.151653</v>
      </c>
    </row>
    <row r="752" spans="1:8" s="81" customFormat="1" x14ac:dyDescent="0.25">
      <c r="A752" s="82" t="s">
        <v>692</v>
      </c>
      <c r="B752" s="82" t="s">
        <v>693</v>
      </c>
      <c r="C752" s="82" t="s">
        <v>30</v>
      </c>
      <c r="D752" s="82" t="s">
        <v>732</v>
      </c>
      <c r="E752" s="82" t="s">
        <v>728</v>
      </c>
      <c r="F752" s="82" t="s">
        <v>11</v>
      </c>
      <c r="G752" s="266">
        <v>8.5560290000000006</v>
      </c>
    </row>
    <row r="753" spans="1:8" s="81" customFormat="1" x14ac:dyDescent="0.25">
      <c r="A753" s="82" t="s">
        <v>393</v>
      </c>
      <c r="B753" s="82" t="s">
        <v>394</v>
      </c>
      <c r="C753" s="82" t="s">
        <v>18</v>
      </c>
      <c r="D753" s="82" t="s">
        <v>19</v>
      </c>
      <c r="E753" s="82" t="s">
        <v>728</v>
      </c>
      <c r="F753" s="82" t="s">
        <v>11</v>
      </c>
      <c r="G753" s="266">
        <v>24.217421999999999</v>
      </c>
    </row>
    <row r="754" spans="1:8" s="81" customFormat="1" x14ac:dyDescent="0.25">
      <c r="A754" s="82" t="s">
        <v>169</v>
      </c>
      <c r="B754" s="82" t="s">
        <v>170</v>
      </c>
      <c r="C754" s="82" t="s">
        <v>80</v>
      </c>
      <c r="D754" s="82" t="s">
        <v>733</v>
      </c>
      <c r="E754" s="82" t="s">
        <v>728</v>
      </c>
      <c r="F754" s="82" t="s">
        <v>11</v>
      </c>
      <c r="G754" s="266">
        <v>31.896048</v>
      </c>
      <c r="H754" s="83"/>
    </row>
    <row r="755" spans="1:8" s="81" customFormat="1" x14ac:dyDescent="0.25">
      <c r="A755" s="82" t="s">
        <v>418</v>
      </c>
      <c r="B755" s="82" t="s">
        <v>419</v>
      </c>
      <c r="C755" s="82" t="s">
        <v>63</v>
      </c>
      <c r="D755" s="82" t="s">
        <v>64</v>
      </c>
      <c r="E755" s="82" t="s">
        <v>15</v>
      </c>
      <c r="F755" s="82" t="s">
        <v>11</v>
      </c>
      <c r="G755" s="266">
        <v>634.56949999999995</v>
      </c>
    </row>
    <row r="756" spans="1:8" s="28" customFormat="1" x14ac:dyDescent="0.25">
      <c r="A756" s="86" t="s">
        <v>130</v>
      </c>
      <c r="B756" s="86" t="s">
        <v>131</v>
      </c>
      <c r="C756" s="86" t="s">
        <v>63</v>
      </c>
      <c r="D756" s="86" t="s">
        <v>64</v>
      </c>
      <c r="E756" s="86" t="s">
        <v>726</v>
      </c>
      <c r="F756" s="86" t="s">
        <v>35</v>
      </c>
      <c r="G756" s="266">
        <v>1.4958297</v>
      </c>
    </row>
    <row r="757" spans="1:8" s="81" customFormat="1" x14ac:dyDescent="0.25">
      <c r="A757" s="82" t="s">
        <v>317</v>
      </c>
      <c r="B757" s="82" t="s">
        <v>318</v>
      </c>
      <c r="C757" s="82" t="s">
        <v>24</v>
      </c>
      <c r="D757" s="82" t="s">
        <v>735</v>
      </c>
      <c r="E757" s="82" t="s">
        <v>727</v>
      </c>
      <c r="F757" s="82" t="s">
        <v>11</v>
      </c>
      <c r="G757" s="266">
        <v>4.9875283000000001</v>
      </c>
    </row>
    <row r="758" spans="1:8" s="81" customFormat="1" x14ac:dyDescent="0.25">
      <c r="A758" s="82" t="s">
        <v>446</v>
      </c>
      <c r="B758" s="82" t="s">
        <v>447</v>
      </c>
      <c r="C758" s="82" t="s">
        <v>14</v>
      </c>
      <c r="D758" s="82" t="s">
        <v>740</v>
      </c>
      <c r="E758" s="82" t="s">
        <v>728</v>
      </c>
      <c r="F758" s="82" t="s">
        <v>11</v>
      </c>
      <c r="G758" s="266">
        <v>9.0899800000000006</v>
      </c>
    </row>
    <row r="759" spans="1:8" s="81" customFormat="1" x14ac:dyDescent="0.25">
      <c r="A759" s="82" t="s">
        <v>529</v>
      </c>
      <c r="B759" s="82" t="s">
        <v>530</v>
      </c>
      <c r="C759" s="82" t="s">
        <v>80</v>
      </c>
      <c r="D759" s="82" t="s">
        <v>733</v>
      </c>
      <c r="E759" s="82" t="s">
        <v>15</v>
      </c>
      <c r="F759" s="82" t="s">
        <v>11</v>
      </c>
      <c r="G759" s="266">
        <v>468.86149999999998</v>
      </c>
    </row>
    <row r="760" spans="1:8" s="81" customFormat="1" x14ac:dyDescent="0.25">
      <c r="A760" s="82" t="s">
        <v>603</v>
      </c>
      <c r="B760" s="82" t="s">
        <v>604</v>
      </c>
      <c r="C760" s="82" t="s">
        <v>46</v>
      </c>
      <c r="D760" s="82" t="s">
        <v>739</v>
      </c>
      <c r="E760" s="82" t="s">
        <v>728</v>
      </c>
      <c r="F760" s="82" t="s">
        <v>11</v>
      </c>
      <c r="G760" s="266">
        <v>36.664504999999998</v>
      </c>
    </row>
    <row r="761" spans="1:8" s="81" customFormat="1" x14ac:dyDescent="0.25">
      <c r="A761" s="82" t="s">
        <v>42</v>
      </c>
      <c r="B761" s="82" t="s">
        <v>43</v>
      </c>
      <c r="C761" s="82" t="s">
        <v>30</v>
      </c>
      <c r="D761" s="82" t="s">
        <v>732</v>
      </c>
      <c r="E761" s="82" t="s">
        <v>727</v>
      </c>
      <c r="F761" s="82" t="s">
        <v>11</v>
      </c>
      <c r="G761" s="266">
        <v>9.2557740000000006</v>
      </c>
    </row>
    <row r="762" spans="1:8" s="81" customFormat="1" x14ac:dyDescent="0.25">
      <c r="A762" s="82" t="s">
        <v>414</v>
      </c>
      <c r="B762" s="82" t="s">
        <v>415</v>
      </c>
      <c r="C762" s="82" t="s">
        <v>80</v>
      </c>
      <c r="D762" s="82" t="s">
        <v>733</v>
      </c>
      <c r="E762" s="82" t="s">
        <v>731</v>
      </c>
      <c r="F762" s="82" t="s">
        <v>11</v>
      </c>
      <c r="G762" s="266">
        <v>82.807280000000006</v>
      </c>
    </row>
    <row r="763" spans="1:8" s="81" customFormat="1" x14ac:dyDescent="0.25">
      <c r="A763" s="82" t="s">
        <v>494</v>
      </c>
      <c r="B763" s="82" t="s">
        <v>495</v>
      </c>
      <c r="C763" s="82" t="s">
        <v>46</v>
      </c>
      <c r="D763" s="82" t="s">
        <v>739</v>
      </c>
      <c r="E763" s="82" t="s">
        <v>727</v>
      </c>
      <c r="F763" s="82" t="s">
        <v>11</v>
      </c>
      <c r="G763" s="266">
        <v>8.4119150000000004E-2</v>
      </c>
    </row>
    <row r="764" spans="1:8" s="81" customFormat="1" x14ac:dyDescent="0.25">
      <c r="A764" s="82" t="s">
        <v>93</v>
      </c>
      <c r="B764" s="82" t="s">
        <v>94</v>
      </c>
      <c r="C764" s="82" t="s">
        <v>30</v>
      </c>
      <c r="D764" s="82" t="s">
        <v>732</v>
      </c>
      <c r="E764" s="82" t="s">
        <v>728</v>
      </c>
      <c r="F764" s="82" t="s">
        <v>11</v>
      </c>
      <c r="G764" s="266">
        <v>59.175643999999998</v>
      </c>
    </row>
    <row r="765" spans="1:8" s="81" customFormat="1" x14ac:dyDescent="0.25">
      <c r="A765" s="82" t="s">
        <v>193</v>
      </c>
      <c r="B765" s="82" t="s">
        <v>194</v>
      </c>
      <c r="C765" s="82" t="s">
        <v>189</v>
      </c>
      <c r="D765" s="82" t="s">
        <v>190</v>
      </c>
      <c r="E765" s="82" t="s">
        <v>728</v>
      </c>
      <c r="F765" s="82" t="s">
        <v>11</v>
      </c>
      <c r="G765" s="266">
        <v>0.11604765</v>
      </c>
    </row>
    <row r="766" spans="1:8" s="129" customFormat="1" x14ac:dyDescent="0.25">
      <c r="A766" s="130" t="s">
        <v>694</v>
      </c>
      <c r="B766" s="130" t="s">
        <v>695</v>
      </c>
      <c r="C766" s="130" t="s">
        <v>30</v>
      </c>
      <c r="D766" s="130" t="s">
        <v>732</v>
      </c>
      <c r="E766" s="130" t="s">
        <v>727</v>
      </c>
      <c r="F766" s="130" t="s">
        <v>11</v>
      </c>
      <c r="G766" s="266">
        <v>2.7780649999999998</v>
      </c>
    </row>
    <row r="767" spans="1:8" s="81" customFormat="1" x14ac:dyDescent="0.25">
      <c r="A767" s="82" t="s">
        <v>655</v>
      </c>
      <c r="B767" s="82" t="s">
        <v>656</v>
      </c>
      <c r="C767" s="82" t="s">
        <v>80</v>
      </c>
      <c r="D767" s="82" t="s">
        <v>733</v>
      </c>
      <c r="E767" s="82" t="s">
        <v>15</v>
      </c>
      <c r="F767" s="82" t="s">
        <v>11</v>
      </c>
      <c r="G767" s="266">
        <v>31.655488999999999</v>
      </c>
    </row>
    <row r="768" spans="1:8" s="81" customFormat="1" x14ac:dyDescent="0.25">
      <c r="A768" s="82" t="s">
        <v>175</v>
      </c>
      <c r="B768" s="82" t="s">
        <v>176</v>
      </c>
      <c r="C768" s="82" t="s">
        <v>80</v>
      </c>
      <c r="D768" s="82" t="s">
        <v>733</v>
      </c>
      <c r="E768" s="82" t="s">
        <v>728</v>
      </c>
      <c r="F768" s="82" t="s">
        <v>11</v>
      </c>
      <c r="G768" s="266">
        <v>141.42586</v>
      </c>
    </row>
    <row r="769" spans="1:8" s="129" customFormat="1" x14ac:dyDescent="0.25">
      <c r="A769" s="130" t="s">
        <v>53</v>
      </c>
      <c r="B769" s="130" t="s">
        <v>54</v>
      </c>
      <c r="C769" s="130" t="s">
        <v>30</v>
      </c>
      <c r="D769" s="130" t="s">
        <v>732</v>
      </c>
      <c r="E769" s="130" t="s">
        <v>15</v>
      </c>
      <c r="F769" s="130" t="s">
        <v>11</v>
      </c>
      <c r="G769" s="266">
        <v>63.849711999999997</v>
      </c>
      <c r="H769" s="131"/>
    </row>
    <row r="770" spans="1:8" s="81" customFormat="1" x14ac:dyDescent="0.25">
      <c r="A770" s="82" t="s">
        <v>696</v>
      </c>
      <c r="B770" s="82" t="s">
        <v>697</v>
      </c>
      <c r="C770" s="82" t="s">
        <v>30</v>
      </c>
      <c r="D770" s="82" t="s">
        <v>732</v>
      </c>
      <c r="E770" s="82" t="s">
        <v>728</v>
      </c>
      <c r="F770" s="82" t="s">
        <v>11</v>
      </c>
      <c r="G770" s="266">
        <v>5.7208360000000003</v>
      </c>
    </row>
    <row r="771" spans="1:8" s="81" customFormat="1" x14ac:dyDescent="0.25">
      <c r="A771" s="82" t="s">
        <v>381</v>
      </c>
      <c r="B771" s="82" t="s">
        <v>382</v>
      </c>
      <c r="C771" s="82" t="s">
        <v>27</v>
      </c>
      <c r="D771" s="82" t="s">
        <v>738</v>
      </c>
      <c r="E771" s="82" t="s">
        <v>15</v>
      </c>
      <c r="F771" s="82" t="s">
        <v>11</v>
      </c>
      <c r="G771" s="266">
        <v>348.93889999999999</v>
      </c>
    </row>
    <row r="772" spans="1:8" s="81" customFormat="1" x14ac:dyDescent="0.25">
      <c r="A772" s="82" t="s">
        <v>357</v>
      </c>
      <c r="B772" s="82" t="s">
        <v>358</v>
      </c>
      <c r="C772" s="82" t="s">
        <v>14</v>
      </c>
      <c r="D772" s="82" t="s">
        <v>740</v>
      </c>
      <c r="E772" s="82" t="s">
        <v>728</v>
      </c>
      <c r="F772" s="82" t="s">
        <v>11</v>
      </c>
      <c r="G772" s="266">
        <v>59.600349999999999</v>
      </c>
      <c r="H772" s="83"/>
    </row>
    <row r="773" spans="1:8" s="28" customFormat="1" x14ac:dyDescent="0.25">
      <c r="A773" s="86" t="s">
        <v>698</v>
      </c>
      <c r="B773" s="86" t="s">
        <v>699</v>
      </c>
      <c r="C773" s="86" t="s">
        <v>140</v>
      </c>
      <c r="D773" s="86" t="s">
        <v>734</v>
      </c>
      <c r="E773" s="86" t="s">
        <v>726</v>
      </c>
      <c r="F773" s="86" t="s">
        <v>35</v>
      </c>
      <c r="G773" s="266">
        <v>212.61105000000001</v>
      </c>
    </row>
    <row r="774" spans="1:8" s="81" customFormat="1" x14ac:dyDescent="0.25">
      <c r="A774" s="82" t="s">
        <v>418</v>
      </c>
      <c r="B774" s="82" t="s">
        <v>419</v>
      </c>
      <c r="C774" s="82" t="s">
        <v>63</v>
      </c>
      <c r="D774" s="82" t="s">
        <v>64</v>
      </c>
      <c r="E774" s="82" t="s">
        <v>727</v>
      </c>
      <c r="F774" s="82" t="s">
        <v>11</v>
      </c>
      <c r="G774" s="266">
        <v>416.83062999999999</v>
      </c>
    </row>
    <row r="775" spans="1:8" s="129" customFormat="1" x14ac:dyDescent="0.25">
      <c r="A775" s="130" t="s">
        <v>694</v>
      </c>
      <c r="B775" s="130" t="s">
        <v>695</v>
      </c>
      <c r="C775" s="130" t="s">
        <v>30</v>
      </c>
      <c r="D775" s="130" t="s">
        <v>732</v>
      </c>
      <c r="E775" s="130" t="s">
        <v>15</v>
      </c>
      <c r="F775" s="130" t="s">
        <v>11</v>
      </c>
      <c r="G775" s="266">
        <v>225.23396</v>
      </c>
      <c r="H775" s="131"/>
    </row>
    <row r="776" spans="1:8" s="28" customFormat="1" x14ac:dyDescent="0.25">
      <c r="A776" s="86" t="s">
        <v>700</v>
      </c>
      <c r="B776" s="86" t="s">
        <v>701</v>
      </c>
      <c r="C776" s="86" t="s">
        <v>27</v>
      </c>
      <c r="D776" s="86" t="s">
        <v>738</v>
      </c>
      <c r="E776" s="86" t="s">
        <v>726</v>
      </c>
      <c r="F776" s="86" t="s">
        <v>35</v>
      </c>
      <c r="G776" s="266">
        <v>7.2291635999999997</v>
      </c>
    </row>
    <row r="777" spans="1:8" s="28" customFormat="1" x14ac:dyDescent="0.25">
      <c r="A777" s="86" t="s">
        <v>702</v>
      </c>
      <c r="B777" s="86" t="s">
        <v>703</v>
      </c>
      <c r="C777" s="86" t="s">
        <v>157</v>
      </c>
      <c r="D777" s="86" t="s">
        <v>158</v>
      </c>
      <c r="E777" s="86" t="s">
        <v>726</v>
      </c>
      <c r="F777" s="86" t="s">
        <v>35</v>
      </c>
      <c r="G777" s="266">
        <v>9.9221679999999992</v>
      </c>
    </row>
    <row r="778" spans="1:8" s="81" customFormat="1" x14ac:dyDescent="0.25">
      <c r="A778" s="82" t="s">
        <v>444</v>
      </c>
      <c r="B778" s="82" t="s">
        <v>445</v>
      </c>
      <c r="C778" s="82" t="s">
        <v>24</v>
      </c>
      <c r="D778" s="82" t="s">
        <v>735</v>
      </c>
      <c r="E778" s="82" t="s">
        <v>728</v>
      </c>
      <c r="F778" s="82" t="s">
        <v>11</v>
      </c>
      <c r="G778" s="266">
        <v>12.523889</v>
      </c>
    </row>
    <row r="779" spans="1:8" s="81" customFormat="1" x14ac:dyDescent="0.25">
      <c r="A779" s="82" t="s">
        <v>361</v>
      </c>
      <c r="B779" s="82" t="s">
        <v>362</v>
      </c>
      <c r="C779" s="82" t="s">
        <v>33</v>
      </c>
      <c r="D779" s="82" t="s">
        <v>34</v>
      </c>
      <c r="E779" s="82" t="s">
        <v>727</v>
      </c>
      <c r="F779" s="82" t="s">
        <v>11</v>
      </c>
      <c r="G779" s="266">
        <v>24.906140000000001</v>
      </c>
    </row>
    <row r="780" spans="1:8" s="81" customFormat="1" x14ac:dyDescent="0.25">
      <c r="A780" s="82" t="s">
        <v>323</v>
      </c>
      <c r="B780" s="82" t="s">
        <v>324</v>
      </c>
      <c r="C780" s="82" t="s">
        <v>80</v>
      </c>
      <c r="D780" s="82" t="s">
        <v>733</v>
      </c>
      <c r="E780" s="82" t="s">
        <v>727</v>
      </c>
      <c r="F780" s="82" t="s">
        <v>11</v>
      </c>
      <c r="G780" s="266">
        <v>93.335840000000005</v>
      </c>
    </row>
    <row r="781" spans="1:8" s="28" customFormat="1" x14ac:dyDescent="0.25">
      <c r="A781" s="86" t="s">
        <v>704</v>
      </c>
      <c r="B781" s="86" t="s">
        <v>705</v>
      </c>
      <c r="C781" s="86" t="s">
        <v>27</v>
      </c>
      <c r="D781" s="86" t="s">
        <v>738</v>
      </c>
      <c r="E781" s="86" t="s">
        <v>726</v>
      </c>
      <c r="F781" s="86" t="s">
        <v>35</v>
      </c>
      <c r="G781" s="266">
        <v>43.613970000000002</v>
      </c>
    </row>
    <row r="782" spans="1:8" s="81" customFormat="1" x14ac:dyDescent="0.25">
      <c r="A782" s="82" t="s">
        <v>387</v>
      </c>
      <c r="B782" s="82" t="s">
        <v>388</v>
      </c>
      <c r="C782" s="82" t="s">
        <v>30</v>
      </c>
      <c r="D782" s="82" t="s">
        <v>732</v>
      </c>
      <c r="E782" s="82" t="s">
        <v>15</v>
      </c>
      <c r="F782" s="82" t="s">
        <v>11</v>
      </c>
      <c r="G782" s="266">
        <v>77.763419999999996</v>
      </c>
    </row>
    <row r="783" spans="1:8" s="28" customFormat="1" x14ac:dyDescent="0.25">
      <c r="A783" s="86" t="s">
        <v>65</v>
      </c>
      <c r="B783" s="86" t="s">
        <v>66</v>
      </c>
      <c r="C783" s="86" t="s">
        <v>27</v>
      </c>
      <c r="D783" s="86" t="s">
        <v>738</v>
      </c>
      <c r="E783" s="86" t="s">
        <v>726</v>
      </c>
      <c r="F783" s="86" t="s">
        <v>105</v>
      </c>
      <c r="G783" s="266">
        <v>9.3731089999999995</v>
      </c>
    </row>
    <row r="784" spans="1:8" s="149" customFormat="1" x14ac:dyDescent="0.25">
      <c r="A784" s="166" t="s">
        <v>706</v>
      </c>
      <c r="B784" s="166" t="s">
        <v>707</v>
      </c>
      <c r="C784" s="166" t="s">
        <v>30</v>
      </c>
      <c r="D784" s="166" t="s">
        <v>732</v>
      </c>
      <c r="E784" s="166" t="s">
        <v>15</v>
      </c>
      <c r="F784" s="166" t="s">
        <v>11</v>
      </c>
      <c r="G784" s="266">
        <v>1.1274850000000001</v>
      </c>
    </row>
    <row r="785" spans="1:7" s="81" customFormat="1" x14ac:dyDescent="0.25">
      <c r="A785" s="82" t="s">
        <v>213</v>
      </c>
      <c r="B785" s="82" t="s">
        <v>214</v>
      </c>
      <c r="C785" s="82" t="s">
        <v>24</v>
      </c>
      <c r="D785" s="82" t="s">
        <v>735</v>
      </c>
      <c r="E785" s="82" t="s">
        <v>727</v>
      </c>
      <c r="F785" s="82" t="s">
        <v>11</v>
      </c>
      <c r="G785" s="266">
        <v>1.8570004</v>
      </c>
    </row>
    <row r="786" spans="1:7" s="81" customFormat="1" x14ac:dyDescent="0.25">
      <c r="A786" s="82" t="s">
        <v>301</v>
      </c>
      <c r="B786" s="82" t="s">
        <v>302</v>
      </c>
      <c r="C786" s="82" t="s">
        <v>14</v>
      </c>
      <c r="D786" s="82" t="s">
        <v>740</v>
      </c>
      <c r="E786" s="82" t="s">
        <v>728</v>
      </c>
      <c r="F786" s="82" t="s">
        <v>11</v>
      </c>
      <c r="G786" s="266">
        <v>28.828989</v>
      </c>
    </row>
    <row r="787" spans="1:7" s="81" customFormat="1" x14ac:dyDescent="0.25">
      <c r="A787" s="82" t="s">
        <v>657</v>
      </c>
      <c r="B787" s="82" t="s">
        <v>658</v>
      </c>
      <c r="C787" s="82" t="s">
        <v>63</v>
      </c>
      <c r="D787" s="82" t="s">
        <v>64</v>
      </c>
      <c r="E787" s="82" t="s">
        <v>727</v>
      </c>
      <c r="F787" s="82" t="s">
        <v>11</v>
      </c>
      <c r="G787" s="266">
        <v>5.6159587000000002</v>
      </c>
    </row>
    <row r="788" spans="1:7" s="28" customFormat="1" x14ac:dyDescent="0.25">
      <c r="A788" s="86" t="s">
        <v>708</v>
      </c>
      <c r="B788" s="86" t="s">
        <v>709</v>
      </c>
      <c r="C788" s="86" t="s">
        <v>46</v>
      </c>
      <c r="D788" s="86" t="s">
        <v>739</v>
      </c>
      <c r="E788" s="86" t="s">
        <v>726</v>
      </c>
      <c r="F788" s="86" t="s">
        <v>35</v>
      </c>
      <c r="G788" s="266">
        <v>47.693413</v>
      </c>
    </row>
    <row r="789" spans="1:7" s="81" customFormat="1" x14ac:dyDescent="0.25">
      <c r="A789" s="82" t="s">
        <v>573</v>
      </c>
      <c r="B789" s="82" t="s">
        <v>574</v>
      </c>
      <c r="C789" s="82" t="s">
        <v>63</v>
      </c>
      <c r="D789" s="82" t="s">
        <v>64</v>
      </c>
      <c r="E789" s="82" t="s">
        <v>728</v>
      </c>
      <c r="F789" s="82" t="s">
        <v>11</v>
      </c>
      <c r="G789" s="266">
        <v>8.5900999999999996</v>
      </c>
    </row>
    <row r="790" spans="1:7" s="81" customFormat="1" x14ac:dyDescent="0.25">
      <c r="A790" s="82" t="s">
        <v>531</v>
      </c>
      <c r="B790" s="82" t="s">
        <v>532</v>
      </c>
      <c r="C790" s="82" t="s">
        <v>24</v>
      </c>
      <c r="D790" s="82" t="s">
        <v>735</v>
      </c>
      <c r="E790" s="82" t="s">
        <v>728</v>
      </c>
      <c r="F790" s="82" t="s">
        <v>11</v>
      </c>
      <c r="G790" s="266">
        <v>22.128208000000001</v>
      </c>
    </row>
    <row r="791" spans="1:7" s="28" customFormat="1" x14ac:dyDescent="0.25">
      <c r="A791" s="86" t="s">
        <v>710</v>
      </c>
      <c r="B791" s="86" t="s">
        <v>711</v>
      </c>
      <c r="C791" s="86" t="s">
        <v>157</v>
      </c>
      <c r="D791" s="86" t="s">
        <v>158</v>
      </c>
      <c r="E791" s="86" t="s">
        <v>726</v>
      </c>
      <c r="F791" s="86" t="s">
        <v>35</v>
      </c>
      <c r="G791" s="266">
        <v>23.686219999999999</v>
      </c>
    </row>
    <row r="792" spans="1:7" s="81" customFormat="1" x14ac:dyDescent="0.25">
      <c r="A792" s="82" t="s">
        <v>353</v>
      </c>
      <c r="B792" s="82" t="s">
        <v>354</v>
      </c>
      <c r="C792" s="82" t="s">
        <v>30</v>
      </c>
      <c r="D792" s="82" t="s">
        <v>732</v>
      </c>
      <c r="E792" s="82" t="s">
        <v>15</v>
      </c>
      <c r="F792" s="82" t="s">
        <v>11</v>
      </c>
      <c r="G792" s="266">
        <v>62.964084999999997</v>
      </c>
    </row>
    <row r="793" spans="1:7" s="102" customFormat="1" x14ac:dyDescent="0.25">
      <c r="A793" s="103" t="s">
        <v>391</v>
      </c>
      <c r="B793" s="103" t="s">
        <v>392</v>
      </c>
      <c r="C793" s="103" t="s">
        <v>14</v>
      </c>
      <c r="D793" s="103" t="s">
        <v>740</v>
      </c>
      <c r="E793" s="103" t="s">
        <v>728</v>
      </c>
      <c r="F793" s="103" t="s">
        <v>741</v>
      </c>
      <c r="G793" s="266">
        <v>50.061301999999998</v>
      </c>
    </row>
    <row r="794" spans="1:7" s="28" customFormat="1" x14ac:dyDescent="0.25">
      <c r="A794" s="86" t="s">
        <v>649</v>
      </c>
      <c r="B794" s="86" t="s">
        <v>650</v>
      </c>
      <c r="C794" s="86" t="s">
        <v>63</v>
      </c>
      <c r="D794" s="86" t="s">
        <v>64</v>
      </c>
      <c r="E794" s="86" t="s">
        <v>726</v>
      </c>
      <c r="F794" s="86" t="s">
        <v>105</v>
      </c>
      <c r="G794" s="266">
        <v>206.21751</v>
      </c>
    </row>
    <row r="795" spans="1:7" s="81" customFormat="1" x14ac:dyDescent="0.25">
      <c r="A795" s="82" t="s">
        <v>89</v>
      </c>
      <c r="B795" s="82" t="s">
        <v>90</v>
      </c>
      <c r="C795" s="82" t="s">
        <v>14</v>
      </c>
      <c r="D795" s="82" t="s">
        <v>740</v>
      </c>
      <c r="E795" s="82" t="s">
        <v>15</v>
      </c>
      <c r="F795" s="82" t="s">
        <v>11</v>
      </c>
      <c r="G795" s="266">
        <v>135.01881</v>
      </c>
    </row>
    <row r="796" spans="1:7" s="102" customFormat="1" x14ac:dyDescent="0.25">
      <c r="A796" s="103" t="s">
        <v>579</v>
      </c>
      <c r="B796" s="103" t="s">
        <v>580</v>
      </c>
      <c r="C796" s="103" t="s">
        <v>14</v>
      </c>
      <c r="D796" s="103" t="s">
        <v>740</v>
      </c>
      <c r="E796" s="103" t="s">
        <v>727</v>
      </c>
      <c r="F796" s="103" t="s">
        <v>741</v>
      </c>
      <c r="G796" s="266">
        <v>69.060280000000006</v>
      </c>
    </row>
    <row r="797" spans="1:7" s="81" customFormat="1" x14ac:dyDescent="0.25">
      <c r="A797" s="82" t="s">
        <v>511</v>
      </c>
      <c r="B797" s="82" t="s">
        <v>512</v>
      </c>
      <c r="C797" s="82" t="s">
        <v>27</v>
      </c>
      <c r="D797" s="82" t="s">
        <v>738</v>
      </c>
      <c r="E797" s="82" t="s">
        <v>728</v>
      </c>
      <c r="F797" s="82" t="s">
        <v>11</v>
      </c>
      <c r="G797" s="266">
        <v>140.36528000000001</v>
      </c>
    </row>
    <row r="798" spans="1:7" s="81" customFormat="1" x14ac:dyDescent="0.25">
      <c r="A798" s="82" t="s">
        <v>414</v>
      </c>
      <c r="B798" s="82" t="s">
        <v>415</v>
      </c>
      <c r="C798" s="82" t="s">
        <v>80</v>
      </c>
      <c r="D798" s="82" t="s">
        <v>733</v>
      </c>
      <c r="E798" s="82" t="s">
        <v>729</v>
      </c>
      <c r="F798" s="82" t="s">
        <v>11</v>
      </c>
      <c r="G798" s="266">
        <v>1526.4572000000001</v>
      </c>
    </row>
    <row r="799" spans="1:7" s="81" customFormat="1" x14ac:dyDescent="0.25">
      <c r="A799" s="82" t="s">
        <v>253</v>
      </c>
      <c r="B799" s="82" t="s">
        <v>254</v>
      </c>
      <c r="C799" s="82" t="s">
        <v>30</v>
      </c>
      <c r="D799" s="82" t="s">
        <v>732</v>
      </c>
      <c r="E799" s="82" t="s">
        <v>15</v>
      </c>
      <c r="F799" s="82" t="s">
        <v>11</v>
      </c>
      <c r="G799" s="266">
        <v>44.673996000000002</v>
      </c>
    </row>
    <row r="800" spans="1:7" s="81" customFormat="1" x14ac:dyDescent="0.25">
      <c r="A800" s="82" t="s">
        <v>40</v>
      </c>
      <c r="B800" s="82" t="s">
        <v>41</v>
      </c>
      <c r="C800" s="82" t="s">
        <v>30</v>
      </c>
      <c r="D800" s="82" t="s">
        <v>732</v>
      </c>
      <c r="E800" s="82" t="s">
        <v>728</v>
      </c>
      <c r="F800" s="82" t="s">
        <v>11</v>
      </c>
      <c r="G800" s="266">
        <v>105.66155999999999</v>
      </c>
    </row>
    <row r="801" spans="1:8" s="81" customFormat="1" x14ac:dyDescent="0.25">
      <c r="A801" s="82" t="s">
        <v>686</v>
      </c>
      <c r="B801" s="82" t="s">
        <v>687</v>
      </c>
      <c r="C801" s="82" t="s">
        <v>63</v>
      </c>
      <c r="D801" s="82" t="s">
        <v>64</v>
      </c>
      <c r="E801" s="82" t="s">
        <v>15</v>
      </c>
      <c r="F801" s="82" t="s">
        <v>11</v>
      </c>
      <c r="G801" s="266">
        <v>228.70699999999999</v>
      </c>
    </row>
    <row r="802" spans="1:8" s="81" customFormat="1" x14ac:dyDescent="0.25">
      <c r="A802" s="82" t="s">
        <v>468</v>
      </c>
      <c r="B802" s="82" t="s">
        <v>469</v>
      </c>
      <c r="C802" s="82" t="s">
        <v>75</v>
      </c>
      <c r="D802" s="82" t="s">
        <v>76</v>
      </c>
      <c r="E802" s="82" t="s">
        <v>728</v>
      </c>
      <c r="F802" s="82" t="s">
        <v>11</v>
      </c>
      <c r="G802" s="266">
        <v>84.715490000000003</v>
      </c>
    </row>
    <row r="803" spans="1:8" s="182" customFormat="1" x14ac:dyDescent="0.25">
      <c r="A803" s="183" t="s">
        <v>295</v>
      </c>
      <c r="B803" s="183" t="s">
        <v>296</v>
      </c>
      <c r="C803" s="183" t="s">
        <v>63</v>
      </c>
      <c r="D803" s="183" t="s">
        <v>64</v>
      </c>
      <c r="E803" s="183" t="s">
        <v>15</v>
      </c>
      <c r="F803" s="183" t="s">
        <v>77</v>
      </c>
      <c r="G803" s="266">
        <v>0.21120565999999999</v>
      </c>
    </row>
    <row r="804" spans="1:8" s="81" customFormat="1" x14ac:dyDescent="0.25">
      <c r="A804" s="82" t="s">
        <v>523</v>
      </c>
      <c r="B804" s="82" t="s">
        <v>524</v>
      </c>
      <c r="C804" s="82" t="s">
        <v>46</v>
      </c>
      <c r="D804" s="82" t="s">
        <v>739</v>
      </c>
      <c r="E804" s="82" t="s">
        <v>728</v>
      </c>
      <c r="F804" s="82" t="s">
        <v>11</v>
      </c>
      <c r="G804" s="266">
        <v>13.94989</v>
      </c>
    </row>
    <row r="805" spans="1:8" s="81" customFormat="1" x14ac:dyDescent="0.25">
      <c r="A805" s="82" t="s">
        <v>219</v>
      </c>
      <c r="B805" s="82" t="s">
        <v>220</v>
      </c>
      <c r="C805" s="82" t="s">
        <v>80</v>
      </c>
      <c r="D805" s="82" t="s">
        <v>733</v>
      </c>
      <c r="E805" s="82" t="s">
        <v>729</v>
      </c>
      <c r="F805" s="82" t="s">
        <v>11</v>
      </c>
      <c r="G805" s="266">
        <v>2.9045050999999999E-2</v>
      </c>
    </row>
    <row r="806" spans="1:8" s="81" customFormat="1" x14ac:dyDescent="0.25">
      <c r="A806" s="82" t="s">
        <v>432</v>
      </c>
      <c r="B806" s="82" t="s">
        <v>433</v>
      </c>
      <c r="C806" s="82" t="s">
        <v>30</v>
      </c>
      <c r="D806" s="82" t="s">
        <v>732</v>
      </c>
      <c r="E806" s="82" t="s">
        <v>727</v>
      </c>
      <c r="F806" s="82" t="s">
        <v>11</v>
      </c>
      <c r="G806" s="266">
        <v>3.4753299000000002</v>
      </c>
    </row>
    <row r="807" spans="1:8" s="28" customFormat="1" x14ac:dyDescent="0.25">
      <c r="A807" s="86" t="s">
        <v>712</v>
      </c>
      <c r="B807" s="86" t="s">
        <v>713</v>
      </c>
      <c r="C807" s="86" t="s">
        <v>157</v>
      </c>
      <c r="D807" s="86" t="s">
        <v>158</v>
      </c>
      <c r="E807" s="86" t="s">
        <v>726</v>
      </c>
      <c r="F807" s="86" t="s">
        <v>35</v>
      </c>
      <c r="G807" s="266">
        <v>95.802170000000004</v>
      </c>
    </row>
    <row r="808" spans="1:8" s="81" customFormat="1" x14ac:dyDescent="0.25">
      <c r="A808" s="82" t="s">
        <v>629</v>
      </c>
      <c r="B808" s="82" t="s">
        <v>630</v>
      </c>
      <c r="C808" s="82" t="s">
        <v>46</v>
      </c>
      <c r="D808" s="82" t="s">
        <v>739</v>
      </c>
      <c r="E808" s="82" t="s">
        <v>15</v>
      </c>
      <c r="F808" s="82" t="s">
        <v>11</v>
      </c>
      <c r="G808" s="266">
        <v>94.870490000000004</v>
      </c>
    </row>
    <row r="809" spans="1:8" s="81" customFormat="1" x14ac:dyDescent="0.25">
      <c r="A809" s="82" t="s">
        <v>466</v>
      </c>
      <c r="B809" s="82" t="s">
        <v>467</v>
      </c>
      <c r="C809" s="82" t="s">
        <v>63</v>
      </c>
      <c r="D809" s="82" t="s">
        <v>64</v>
      </c>
      <c r="E809" s="82" t="s">
        <v>15</v>
      </c>
      <c r="F809" s="82" t="s">
        <v>11</v>
      </c>
      <c r="G809" s="266">
        <v>179.45848000000001</v>
      </c>
    </row>
    <row r="810" spans="1:8" s="81" customFormat="1" x14ac:dyDescent="0.25">
      <c r="A810" s="82" t="s">
        <v>259</v>
      </c>
      <c r="B810" s="82" t="s">
        <v>260</v>
      </c>
      <c r="C810" s="82" t="s">
        <v>30</v>
      </c>
      <c r="D810" s="82" t="s">
        <v>732</v>
      </c>
      <c r="E810" s="82" t="s">
        <v>728</v>
      </c>
      <c r="F810" s="82" t="s">
        <v>11</v>
      </c>
      <c r="G810" s="266">
        <v>223.39746</v>
      </c>
    </row>
    <row r="811" spans="1:8" s="81" customFormat="1" x14ac:dyDescent="0.25">
      <c r="A811" s="82" t="s">
        <v>589</v>
      </c>
      <c r="B811" s="82" t="s">
        <v>590</v>
      </c>
      <c r="C811" s="82" t="s">
        <v>24</v>
      </c>
      <c r="D811" s="82" t="s">
        <v>735</v>
      </c>
      <c r="E811" s="82" t="s">
        <v>727</v>
      </c>
      <c r="F811" s="82" t="s">
        <v>11</v>
      </c>
      <c r="G811" s="266">
        <v>4.6625686000000002</v>
      </c>
    </row>
    <row r="812" spans="1:8" s="81" customFormat="1" x14ac:dyDescent="0.25">
      <c r="A812" s="82" t="s">
        <v>315</v>
      </c>
      <c r="B812" s="82" t="s">
        <v>316</v>
      </c>
      <c r="C812" s="82" t="s">
        <v>63</v>
      </c>
      <c r="D812" s="82" t="s">
        <v>64</v>
      </c>
      <c r="E812" s="82" t="s">
        <v>728</v>
      </c>
      <c r="F812" s="82" t="s">
        <v>11</v>
      </c>
      <c r="G812" s="266">
        <v>11.668179500000001</v>
      </c>
    </row>
    <row r="813" spans="1:8" s="129" customFormat="1" x14ac:dyDescent="0.25">
      <c r="A813" s="130" t="s">
        <v>551</v>
      </c>
      <c r="B813" s="130" t="s">
        <v>552</v>
      </c>
      <c r="C813" s="130" t="s">
        <v>30</v>
      </c>
      <c r="D813" s="130" t="s">
        <v>732</v>
      </c>
      <c r="E813" s="130" t="s">
        <v>727</v>
      </c>
      <c r="F813" s="130" t="s">
        <v>11</v>
      </c>
      <c r="G813" s="266">
        <v>3.8823677999999999</v>
      </c>
      <c r="H813" s="131"/>
    </row>
    <row r="814" spans="1:8" s="149" customFormat="1" x14ac:dyDescent="0.25">
      <c r="A814" s="166" t="s">
        <v>706</v>
      </c>
      <c r="B814" s="166" t="s">
        <v>707</v>
      </c>
      <c r="C814" s="166" t="s">
        <v>30</v>
      </c>
      <c r="D814" s="166" t="s">
        <v>732</v>
      </c>
      <c r="E814" s="166" t="s">
        <v>728</v>
      </c>
      <c r="F814" s="166" t="s">
        <v>11</v>
      </c>
      <c r="G814" s="266">
        <v>0.48811232999999998</v>
      </c>
    </row>
    <row r="815" spans="1:8" s="81" customFormat="1" x14ac:dyDescent="0.25">
      <c r="A815" s="82" t="s">
        <v>297</v>
      </c>
      <c r="B815" s="82" t="s">
        <v>298</v>
      </c>
      <c r="C815" s="82" t="s">
        <v>46</v>
      </c>
      <c r="D815" s="82" t="s">
        <v>739</v>
      </c>
      <c r="E815" s="82" t="s">
        <v>15</v>
      </c>
      <c r="F815" s="82" t="s">
        <v>11</v>
      </c>
      <c r="G815" s="266">
        <v>24.392757</v>
      </c>
    </row>
    <row r="816" spans="1:8" s="81" customFormat="1" x14ac:dyDescent="0.25">
      <c r="A816" s="82" t="s">
        <v>213</v>
      </c>
      <c r="B816" s="82" t="s">
        <v>214</v>
      </c>
      <c r="C816" s="82" t="s">
        <v>24</v>
      </c>
      <c r="D816" s="82" t="s">
        <v>735</v>
      </c>
      <c r="E816" s="82" t="s">
        <v>15</v>
      </c>
      <c r="F816" s="82" t="s">
        <v>11</v>
      </c>
      <c r="G816" s="266">
        <v>50.403556999999999</v>
      </c>
    </row>
    <row r="817" spans="1:8" s="81" customFormat="1" x14ac:dyDescent="0.25">
      <c r="A817" s="82" t="s">
        <v>509</v>
      </c>
      <c r="B817" s="82" t="s">
        <v>510</v>
      </c>
      <c r="C817" s="82" t="s">
        <v>24</v>
      </c>
      <c r="D817" s="82" t="s">
        <v>735</v>
      </c>
      <c r="E817" s="82" t="s">
        <v>728</v>
      </c>
      <c r="F817" s="82" t="s">
        <v>11</v>
      </c>
      <c r="G817" s="266">
        <v>18.151351999999999</v>
      </c>
    </row>
    <row r="818" spans="1:8" s="81" customFormat="1" x14ac:dyDescent="0.25">
      <c r="A818" s="82" t="s">
        <v>509</v>
      </c>
      <c r="B818" s="82" t="s">
        <v>510</v>
      </c>
      <c r="C818" s="82" t="s">
        <v>24</v>
      </c>
      <c r="D818" s="82" t="s">
        <v>735</v>
      </c>
      <c r="E818" s="82" t="s">
        <v>727</v>
      </c>
      <c r="F818" s="82" t="s">
        <v>11</v>
      </c>
      <c r="G818" s="266">
        <v>1.9513965</v>
      </c>
    </row>
    <row r="819" spans="1:8" s="28" customFormat="1" x14ac:dyDescent="0.25">
      <c r="A819" s="86" t="s">
        <v>714</v>
      </c>
      <c r="B819" s="86" t="s">
        <v>715</v>
      </c>
      <c r="C819" s="86" t="s">
        <v>14</v>
      </c>
      <c r="D819" s="86" t="s">
        <v>740</v>
      </c>
      <c r="E819" s="86" t="s">
        <v>726</v>
      </c>
      <c r="F819" s="86" t="s">
        <v>35</v>
      </c>
      <c r="G819" s="266">
        <v>6.0415834999999998</v>
      </c>
    </row>
    <row r="820" spans="1:8" s="28" customFormat="1" x14ac:dyDescent="0.25">
      <c r="A820" s="86" t="s">
        <v>283</v>
      </c>
      <c r="B820" s="86" t="s">
        <v>284</v>
      </c>
      <c r="C820" s="86" t="s">
        <v>27</v>
      </c>
      <c r="D820" s="86" t="s">
        <v>738</v>
      </c>
      <c r="E820" s="86" t="s">
        <v>726</v>
      </c>
      <c r="F820" s="86" t="s">
        <v>105</v>
      </c>
      <c r="G820" s="266">
        <v>20.733156000000001</v>
      </c>
    </row>
    <row r="821" spans="1:8" s="28" customFormat="1" x14ac:dyDescent="0.25">
      <c r="A821" s="86" t="s">
        <v>716</v>
      </c>
      <c r="B821" s="86" t="s">
        <v>717</v>
      </c>
      <c r="C821" s="86" t="s">
        <v>30</v>
      </c>
      <c r="D821" s="86" t="s">
        <v>732</v>
      </c>
      <c r="E821" s="86" t="s">
        <v>726</v>
      </c>
      <c r="F821" s="86" t="s">
        <v>35</v>
      </c>
      <c r="G821" s="266">
        <v>21.874307999999999</v>
      </c>
    </row>
    <row r="822" spans="1:8" s="81" customFormat="1" x14ac:dyDescent="0.25">
      <c r="A822" s="82" t="s">
        <v>171</v>
      </c>
      <c r="B822" s="82" t="s">
        <v>172</v>
      </c>
      <c r="C822" s="82" t="s">
        <v>30</v>
      </c>
      <c r="D822" s="82" t="s">
        <v>732</v>
      </c>
      <c r="E822" s="82" t="s">
        <v>727</v>
      </c>
      <c r="F822" s="82" t="s">
        <v>11</v>
      </c>
      <c r="G822" s="266">
        <v>30.172056000000001</v>
      </c>
    </row>
    <row r="823" spans="1:8" s="81" customFormat="1" x14ac:dyDescent="0.25">
      <c r="A823" s="82" t="s">
        <v>285</v>
      </c>
      <c r="B823" s="82" t="s">
        <v>286</v>
      </c>
      <c r="C823" s="82" t="s">
        <v>14</v>
      </c>
      <c r="D823" s="82" t="s">
        <v>740</v>
      </c>
      <c r="E823" s="82" t="s">
        <v>15</v>
      </c>
      <c r="F823" s="82" t="s">
        <v>11</v>
      </c>
      <c r="G823" s="266">
        <v>52.079802999999998</v>
      </c>
    </row>
    <row r="824" spans="1:8" s="28" customFormat="1" x14ac:dyDescent="0.25">
      <c r="A824" s="86" t="s">
        <v>718</v>
      </c>
      <c r="B824" s="86" t="s">
        <v>719</v>
      </c>
      <c r="C824" s="86" t="s">
        <v>157</v>
      </c>
      <c r="D824" s="86" t="s">
        <v>158</v>
      </c>
      <c r="E824" s="86" t="s">
        <v>726</v>
      </c>
      <c r="F824" s="86" t="s">
        <v>35</v>
      </c>
      <c r="G824" s="266">
        <v>75.897750000000002</v>
      </c>
    </row>
    <row r="825" spans="1:8" s="81" customFormat="1" x14ac:dyDescent="0.25">
      <c r="A825" s="82" t="s">
        <v>403</v>
      </c>
      <c r="B825" s="82" t="s">
        <v>404</v>
      </c>
      <c r="C825" s="82" t="s">
        <v>14</v>
      </c>
      <c r="D825" s="82" t="s">
        <v>740</v>
      </c>
      <c r="E825" s="82" t="s">
        <v>15</v>
      </c>
      <c r="F825" s="82" t="s">
        <v>11</v>
      </c>
      <c r="G825" s="266">
        <v>29.74277</v>
      </c>
    </row>
    <row r="826" spans="1:8" s="28" customFormat="1" x14ac:dyDescent="0.25">
      <c r="A826" s="86" t="s">
        <v>684</v>
      </c>
      <c r="B826" s="86" t="s">
        <v>685</v>
      </c>
      <c r="C826" s="86" t="s">
        <v>27</v>
      </c>
      <c r="D826" s="86" t="s">
        <v>738</v>
      </c>
      <c r="E826" s="86" t="s">
        <v>726</v>
      </c>
      <c r="F826" s="86" t="s">
        <v>105</v>
      </c>
      <c r="G826" s="266">
        <v>1.7269728</v>
      </c>
    </row>
    <row r="827" spans="1:8" s="81" customFormat="1" x14ac:dyDescent="0.25">
      <c r="A827" s="82" t="s">
        <v>383</v>
      </c>
      <c r="B827" s="82" t="s">
        <v>384</v>
      </c>
      <c r="C827" s="82" t="s">
        <v>189</v>
      </c>
      <c r="D827" s="82" t="s">
        <v>190</v>
      </c>
      <c r="E827" s="82" t="s">
        <v>728</v>
      </c>
      <c r="F827" s="82" t="s">
        <v>11</v>
      </c>
      <c r="G827" s="266">
        <v>34.667470000000002</v>
      </c>
      <c r="H827" s="83"/>
    </row>
    <row r="828" spans="1:8" s="81" customFormat="1" x14ac:dyDescent="0.25">
      <c r="A828" s="82" t="s">
        <v>349</v>
      </c>
      <c r="B828" s="82" t="s">
        <v>350</v>
      </c>
      <c r="C828" s="82" t="s">
        <v>30</v>
      </c>
      <c r="D828" s="82" t="s">
        <v>732</v>
      </c>
      <c r="E828" s="82" t="s">
        <v>728</v>
      </c>
      <c r="F828" s="82" t="s">
        <v>11</v>
      </c>
      <c r="G828" s="266">
        <v>38.908141999999998</v>
      </c>
      <c r="H828" s="83"/>
    </row>
    <row r="829" spans="1:8" s="81" customFormat="1" x14ac:dyDescent="0.25">
      <c r="A829" s="82" t="s">
        <v>641</v>
      </c>
      <c r="B829" s="82" t="s">
        <v>642</v>
      </c>
      <c r="C829" s="82" t="s">
        <v>63</v>
      </c>
      <c r="D829" s="82" t="s">
        <v>64</v>
      </c>
      <c r="E829" s="82" t="s">
        <v>728</v>
      </c>
      <c r="F829" s="82" t="s">
        <v>11</v>
      </c>
      <c r="G829" s="266">
        <v>37.428897999999997</v>
      </c>
    </row>
    <row r="830" spans="1:8" s="28" customFormat="1" x14ac:dyDescent="0.25">
      <c r="A830" s="86" t="s">
        <v>720</v>
      </c>
      <c r="B830" s="86" t="s">
        <v>721</v>
      </c>
      <c r="C830" s="86" t="s">
        <v>30</v>
      </c>
      <c r="D830" s="86" t="s">
        <v>732</v>
      </c>
      <c r="E830" s="86" t="s">
        <v>726</v>
      </c>
      <c r="F830" s="86" t="s">
        <v>35</v>
      </c>
      <c r="G830" s="266">
        <v>84.962379999999996</v>
      </c>
    </row>
    <row r="831" spans="1:8" s="81" customFormat="1" x14ac:dyDescent="0.25">
      <c r="A831" s="82" t="s">
        <v>399</v>
      </c>
      <c r="B831" s="82" t="s">
        <v>400</v>
      </c>
      <c r="C831" s="82" t="s">
        <v>63</v>
      </c>
      <c r="D831" s="82" t="s">
        <v>64</v>
      </c>
      <c r="E831" s="82" t="s">
        <v>728</v>
      </c>
      <c r="F831" s="82" t="s">
        <v>11</v>
      </c>
      <c r="G831" s="266">
        <v>9.2203769999999992</v>
      </c>
    </row>
    <row r="832" spans="1:8" s="81" customFormat="1" x14ac:dyDescent="0.25">
      <c r="A832" s="82" t="s">
        <v>301</v>
      </c>
      <c r="B832" s="82" t="s">
        <v>302</v>
      </c>
      <c r="C832" s="82" t="s">
        <v>14</v>
      </c>
      <c r="D832" s="82" t="s">
        <v>740</v>
      </c>
      <c r="E832" s="82" t="s">
        <v>727</v>
      </c>
      <c r="F832" s="82" t="s">
        <v>11</v>
      </c>
      <c r="G832" s="266">
        <v>9.2761890000000005</v>
      </c>
    </row>
    <row r="833" spans="1:8" s="81" customFormat="1" x14ac:dyDescent="0.25">
      <c r="A833" s="82" t="s">
        <v>339</v>
      </c>
      <c r="B833" s="82" t="s">
        <v>340</v>
      </c>
      <c r="C833" s="82" t="s">
        <v>24</v>
      </c>
      <c r="D833" s="82" t="s">
        <v>735</v>
      </c>
      <c r="E833" s="82" t="s">
        <v>727</v>
      </c>
      <c r="F833" s="82" t="s">
        <v>11</v>
      </c>
      <c r="G833" s="266">
        <v>1.723157</v>
      </c>
    </row>
    <row r="834" spans="1:8" s="81" customFormat="1" x14ac:dyDescent="0.25">
      <c r="A834" s="82" t="s">
        <v>120</v>
      </c>
      <c r="B834" s="82" t="s">
        <v>121</v>
      </c>
      <c r="C834" s="82" t="s">
        <v>30</v>
      </c>
      <c r="D834" s="82" t="s">
        <v>732</v>
      </c>
      <c r="E834" s="82" t="s">
        <v>15</v>
      </c>
      <c r="F834" s="82" t="s">
        <v>11</v>
      </c>
      <c r="G834" s="266">
        <v>102.33125</v>
      </c>
    </row>
    <row r="835" spans="1:8" s="182" customFormat="1" x14ac:dyDescent="0.25">
      <c r="A835" s="183" t="s">
        <v>295</v>
      </c>
      <c r="B835" s="183" t="s">
        <v>296</v>
      </c>
      <c r="C835" s="183" t="s">
        <v>63</v>
      </c>
      <c r="D835" s="183" t="s">
        <v>64</v>
      </c>
      <c r="E835" s="183" t="s">
        <v>727</v>
      </c>
      <c r="F835" s="183" t="s">
        <v>77</v>
      </c>
      <c r="G835" s="266">
        <v>22.040679999999998</v>
      </c>
    </row>
    <row r="836" spans="1:8" s="81" customFormat="1" x14ac:dyDescent="0.25">
      <c r="A836" s="82" t="s">
        <v>333</v>
      </c>
      <c r="B836" s="82" t="s">
        <v>334</v>
      </c>
      <c r="C836" s="82" t="s">
        <v>75</v>
      </c>
      <c r="D836" s="82" t="s">
        <v>76</v>
      </c>
      <c r="E836" s="82" t="s">
        <v>728</v>
      </c>
      <c r="F836" s="82" t="s">
        <v>11</v>
      </c>
      <c r="G836" s="266">
        <v>144.06855999999999</v>
      </c>
    </row>
    <row r="837" spans="1:8" s="129" customFormat="1" x14ac:dyDescent="0.25">
      <c r="A837" s="130" t="s">
        <v>28</v>
      </c>
      <c r="B837" s="130" t="s">
        <v>29</v>
      </c>
      <c r="C837" s="130" t="s">
        <v>30</v>
      </c>
      <c r="D837" s="130" t="s">
        <v>732</v>
      </c>
      <c r="E837" s="130" t="s">
        <v>727</v>
      </c>
      <c r="F837" s="130" t="s">
        <v>11</v>
      </c>
      <c r="G837" s="266">
        <v>0.21371448000000001</v>
      </c>
      <c r="H837" s="131"/>
    </row>
    <row r="838" spans="1:8" s="81" customFormat="1" x14ac:dyDescent="0.25">
      <c r="A838" s="82" t="s">
        <v>345</v>
      </c>
      <c r="B838" s="82" t="s">
        <v>346</v>
      </c>
      <c r="C838" s="82" t="s">
        <v>30</v>
      </c>
      <c r="D838" s="82" t="s">
        <v>732</v>
      </c>
      <c r="E838" s="82" t="s">
        <v>15</v>
      </c>
      <c r="F838" s="82" t="s">
        <v>11</v>
      </c>
      <c r="G838" s="266">
        <v>27.370097999999999</v>
      </c>
    </row>
    <row r="839" spans="1:8" s="28" customFormat="1" x14ac:dyDescent="0.25">
      <c r="A839" s="86" t="s">
        <v>103</v>
      </c>
      <c r="B839" s="86" t="s">
        <v>104</v>
      </c>
      <c r="C839" s="86" t="s">
        <v>27</v>
      </c>
      <c r="D839" s="86" t="s">
        <v>738</v>
      </c>
      <c r="E839" s="86" t="s">
        <v>726</v>
      </c>
      <c r="F839" s="86" t="s">
        <v>35</v>
      </c>
      <c r="G839" s="266">
        <v>375.95159999999998</v>
      </c>
    </row>
    <row r="840" spans="1:8" s="28" customFormat="1" x14ac:dyDescent="0.25">
      <c r="A840" s="86" t="s">
        <v>698</v>
      </c>
      <c r="B840" s="86" t="s">
        <v>699</v>
      </c>
      <c r="C840" s="86" t="s">
        <v>140</v>
      </c>
      <c r="D840" s="86" t="s">
        <v>734</v>
      </c>
      <c r="E840" s="86" t="s">
        <v>726</v>
      </c>
      <c r="F840" s="86" t="s">
        <v>105</v>
      </c>
      <c r="G840" s="266">
        <v>1.4627969000000001</v>
      </c>
    </row>
    <row r="841" spans="1:8" s="81" customFormat="1" x14ac:dyDescent="0.25">
      <c r="A841" s="82" t="s">
        <v>345</v>
      </c>
      <c r="B841" s="82" t="s">
        <v>346</v>
      </c>
      <c r="C841" s="82" t="s">
        <v>30</v>
      </c>
      <c r="D841" s="82" t="s">
        <v>732</v>
      </c>
      <c r="E841" s="82" t="s">
        <v>728</v>
      </c>
      <c r="F841" s="82" t="s">
        <v>11</v>
      </c>
      <c r="G841" s="266">
        <v>31.241060000000001</v>
      </c>
      <c r="H841" s="83"/>
    </row>
    <row r="842" spans="1:8" s="81" customFormat="1" x14ac:dyDescent="0.25">
      <c r="A842" s="82" t="s">
        <v>686</v>
      </c>
      <c r="B842" s="82" t="s">
        <v>687</v>
      </c>
      <c r="C842" s="82" t="s">
        <v>63</v>
      </c>
      <c r="D842" s="82" t="s">
        <v>64</v>
      </c>
      <c r="E842" s="82" t="s">
        <v>727</v>
      </c>
      <c r="F842" s="82" t="s">
        <v>11</v>
      </c>
      <c r="G842" s="266">
        <v>3.4097151999999999</v>
      </c>
    </row>
    <row r="843" spans="1:8" s="129" customFormat="1" x14ac:dyDescent="0.25">
      <c r="A843" s="130" t="s">
        <v>547</v>
      </c>
      <c r="B843" s="130" t="s">
        <v>548</v>
      </c>
      <c r="C843" s="130" t="s">
        <v>14</v>
      </c>
      <c r="D843" s="130" t="s">
        <v>740</v>
      </c>
      <c r="E843" s="130" t="s">
        <v>727</v>
      </c>
      <c r="F843" s="130" t="s">
        <v>11</v>
      </c>
      <c r="G843" s="266">
        <v>3.4873910000000001</v>
      </c>
      <c r="H843" s="131"/>
    </row>
    <row r="844" spans="1:8" s="309" customFormat="1" x14ac:dyDescent="0.25">
      <c r="A844" s="307" t="s">
        <v>682</v>
      </c>
      <c r="B844" s="307" t="s">
        <v>683</v>
      </c>
      <c r="C844" s="307" t="s">
        <v>30</v>
      </c>
      <c r="D844" s="307" t="s">
        <v>732</v>
      </c>
      <c r="E844" s="307" t="s">
        <v>728</v>
      </c>
      <c r="F844" s="307" t="s">
        <v>11</v>
      </c>
      <c r="G844" s="266">
        <v>4.309348</v>
      </c>
      <c r="H844" s="308"/>
    </row>
    <row r="845" spans="1:8" s="81" customFormat="1" x14ac:dyDescent="0.25">
      <c r="A845" s="82" t="s">
        <v>529</v>
      </c>
      <c r="B845" s="82" t="s">
        <v>530</v>
      </c>
      <c r="C845" s="82" t="s">
        <v>80</v>
      </c>
      <c r="D845" s="82" t="s">
        <v>733</v>
      </c>
      <c r="E845" s="82" t="s">
        <v>727</v>
      </c>
      <c r="F845" s="82" t="s">
        <v>11</v>
      </c>
      <c r="G845" s="266">
        <v>0.33571200000000001</v>
      </c>
    </row>
    <row r="846" spans="1:8" s="81" customFormat="1" x14ac:dyDescent="0.25">
      <c r="A846" s="82" t="s">
        <v>153</v>
      </c>
      <c r="B846" s="82" t="s">
        <v>154</v>
      </c>
      <c r="C846" s="82" t="s">
        <v>80</v>
      </c>
      <c r="D846" s="82" t="s">
        <v>733</v>
      </c>
      <c r="E846" s="82" t="s">
        <v>728</v>
      </c>
      <c r="F846" s="82" t="s">
        <v>11</v>
      </c>
      <c r="G846" s="266">
        <v>146.98133999999999</v>
      </c>
    </row>
    <row r="847" spans="1:8" s="81" customFormat="1" x14ac:dyDescent="0.25">
      <c r="A847" s="82" t="s">
        <v>153</v>
      </c>
      <c r="B847" s="82" t="s">
        <v>154</v>
      </c>
      <c r="C847" s="82" t="s">
        <v>80</v>
      </c>
      <c r="D847" s="82" t="s">
        <v>733</v>
      </c>
      <c r="E847" s="82" t="s">
        <v>727</v>
      </c>
      <c r="F847" s="82" t="s">
        <v>11</v>
      </c>
      <c r="G847" s="266">
        <v>194.06586999999999</v>
      </c>
    </row>
    <row r="848" spans="1:8" s="81" customFormat="1" x14ac:dyDescent="0.25">
      <c r="A848" s="82" t="s">
        <v>653</v>
      </c>
      <c r="B848" s="82" t="s">
        <v>654</v>
      </c>
      <c r="C848" s="82" t="s">
        <v>27</v>
      </c>
      <c r="D848" s="82" t="s">
        <v>738</v>
      </c>
      <c r="E848" s="82" t="s">
        <v>728</v>
      </c>
      <c r="F848" s="82" t="s">
        <v>11</v>
      </c>
      <c r="G848" s="266">
        <v>10.663360000000001</v>
      </c>
    </row>
    <row r="849" spans="1:8" s="81" customFormat="1" x14ac:dyDescent="0.25">
      <c r="A849" s="82" t="s">
        <v>569</v>
      </c>
      <c r="B849" s="82" t="s">
        <v>570</v>
      </c>
      <c r="C849" s="82" t="s">
        <v>24</v>
      </c>
      <c r="D849" s="82" t="s">
        <v>735</v>
      </c>
      <c r="E849" s="82" t="s">
        <v>727</v>
      </c>
      <c r="F849" s="82" t="s">
        <v>11</v>
      </c>
      <c r="G849" s="266">
        <v>7.1943282999999996</v>
      </c>
    </row>
    <row r="850" spans="1:8" s="81" customFormat="1" x14ac:dyDescent="0.25">
      <c r="A850" s="82" t="s">
        <v>106</v>
      </c>
      <c r="B850" s="82" t="s">
        <v>107</v>
      </c>
      <c r="C850" s="82" t="s">
        <v>30</v>
      </c>
      <c r="D850" s="82" t="s">
        <v>732</v>
      </c>
      <c r="E850" s="82" t="s">
        <v>727</v>
      </c>
      <c r="F850" s="82" t="s">
        <v>11</v>
      </c>
      <c r="G850" s="266">
        <v>22.648039000000001</v>
      </c>
    </row>
    <row r="851" spans="1:8" s="81" customFormat="1" x14ac:dyDescent="0.25">
      <c r="A851" s="82" t="s">
        <v>151</v>
      </c>
      <c r="B851" s="82" t="s">
        <v>152</v>
      </c>
      <c r="C851" s="82" t="s">
        <v>24</v>
      </c>
      <c r="D851" s="82" t="s">
        <v>735</v>
      </c>
      <c r="E851" s="82" t="s">
        <v>728</v>
      </c>
      <c r="F851" s="82" t="s">
        <v>11</v>
      </c>
      <c r="G851" s="266">
        <v>37.864178000000003</v>
      </c>
    </row>
    <row r="852" spans="1:8" s="81" customFormat="1" x14ac:dyDescent="0.25">
      <c r="A852" s="82" t="s">
        <v>108</v>
      </c>
      <c r="B852" s="82" t="s">
        <v>109</v>
      </c>
      <c r="C852" s="82" t="s">
        <v>18</v>
      </c>
      <c r="D852" s="82" t="s">
        <v>19</v>
      </c>
      <c r="E852" s="82" t="s">
        <v>15</v>
      </c>
      <c r="F852" s="82" t="s">
        <v>11</v>
      </c>
      <c r="G852" s="266">
        <v>84.399215999999996</v>
      </c>
    </row>
    <row r="853" spans="1:8" s="129" customFormat="1" x14ac:dyDescent="0.25">
      <c r="A853" s="130" t="s">
        <v>692</v>
      </c>
      <c r="B853" s="130" t="s">
        <v>693</v>
      </c>
      <c r="C853" s="130" t="s">
        <v>30</v>
      </c>
      <c r="D853" s="130" t="s">
        <v>732</v>
      </c>
      <c r="E853" s="130" t="s">
        <v>15</v>
      </c>
      <c r="F853" s="130" t="s">
        <v>11</v>
      </c>
      <c r="G853" s="266">
        <v>44.734627000000003</v>
      </c>
      <c r="H853" s="131"/>
    </row>
    <row r="854" spans="1:8" s="81" customFormat="1" x14ac:dyDescent="0.25">
      <c r="A854" s="82" t="s">
        <v>329</v>
      </c>
      <c r="B854" s="82" t="s">
        <v>330</v>
      </c>
      <c r="C854" s="82" t="s">
        <v>30</v>
      </c>
      <c r="D854" s="82" t="s">
        <v>732</v>
      </c>
      <c r="E854" s="82" t="s">
        <v>727</v>
      </c>
      <c r="F854" s="82" t="s">
        <v>11</v>
      </c>
      <c r="G854" s="266">
        <v>0.34831246999999999</v>
      </c>
    </row>
    <row r="855" spans="1:8" s="81" customFormat="1" x14ac:dyDescent="0.25">
      <c r="A855" s="82" t="s">
        <v>657</v>
      </c>
      <c r="B855" s="82" t="s">
        <v>658</v>
      </c>
      <c r="C855" s="82" t="s">
        <v>63</v>
      </c>
      <c r="D855" s="82" t="s">
        <v>64</v>
      </c>
      <c r="E855" s="82" t="s">
        <v>728</v>
      </c>
      <c r="F855" s="82" t="s">
        <v>11</v>
      </c>
      <c r="G855" s="266">
        <v>7.0034986000000004</v>
      </c>
    </row>
    <row r="856" spans="1:8" s="81" customFormat="1" x14ac:dyDescent="0.25">
      <c r="A856" s="82" t="s">
        <v>25</v>
      </c>
      <c r="B856" s="82" t="s">
        <v>26</v>
      </c>
      <c r="C856" s="82" t="s">
        <v>27</v>
      </c>
      <c r="D856" s="82" t="s">
        <v>738</v>
      </c>
      <c r="E856" s="82" t="s">
        <v>727</v>
      </c>
      <c r="F856" s="82" t="s">
        <v>11</v>
      </c>
      <c r="G856" s="266">
        <v>0.79142714000000003</v>
      </c>
    </row>
    <row r="857" spans="1:8" s="28" customFormat="1" x14ac:dyDescent="0.25">
      <c r="A857" s="86" t="s">
        <v>73</v>
      </c>
      <c r="B857" s="86" t="s">
        <v>74</v>
      </c>
      <c r="C857" s="86" t="s">
        <v>75</v>
      </c>
      <c r="D857" s="86" t="s">
        <v>76</v>
      </c>
      <c r="E857" s="86" t="s">
        <v>726</v>
      </c>
      <c r="F857" s="86" t="s">
        <v>105</v>
      </c>
      <c r="G857" s="266">
        <v>122.86176</v>
      </c>
    </row>
    <row r="858" spans="1:8" s="81" customFormat="1" x14ac:dyDescent="0.25">
      <c r="A858" s="82" t="s">
        <v>91</v>
      </c>
      <c r="B858" s="82" t="s">
        <v>92</v>
      </c>
      <c r="C858" s="82" t="s">
        <v>27</v>
      </c>
      <c r="D858" s="82" t="s">
        <v>738</v>
      </c>
      <c r="E858" s="82" t="s">
        <v>727</v>
      </c>
      <c r="F858" s="82" t="s">
        <v>11</v>
      </c>
      <c r="G858" s="266">
        <v>3.6811302000000001</v>
      </c>
    </row>
    <row r="859" spans="1:8" s="81" customFormat="1" x14ac:dyDescent="0.25">
      <c r="A859" s="82" t="s">
        <v>583</v>
      </c>
      <c r="B859" s="82" t="s">
        <v>584</v>
      </c>
      <c r="C859" s="82" t="s">
        <v>80</v>
      </c>
      <c r="D859" s="82" t="s">
        <v>733</v>
      </c>
      <c r="E859" s="82" t="s">
        <v>15</v>
      </c>
      <c r="F859" s="82" t="s">
        <v>11</v>
      </c>
      <c r="G859" s="266">
        <v>20.432456999999999</v>
      </c>
    </row>
    <row r="860" spans="1:8" s="81" customFormat="1" x14ac:dyDescent="0.25">
      <c r="A860" s="82" t="s">
        <v>645</v>
      </c>
      <c r="B860" s="82" t="s">
        <v>646</v>
      </c>
      <c r="C860" s="82" t="s">
        <v>63</v>
      </c>
      <c r="D860" s="82" t="s">
        <v>64</v>
      </c>
      <c r="E860" s="82" t="s">
        <v>15</v>
      </c>
      <c r="F860" s="82" t="s">
        <v>11</v>
      </c>
      <c r="G860" s="266">
        <v>168.16693000000001</v>
      </c>
    </row>
    <row r="861" spans="1:8" s="81" customFormat="1" x14ac:dyDescent="0.25">
      <c r="A861" s="82" t="s">
        <v>299</v>
      </c>
      <c r="B861" s="82" t="s">
        <v>300</v>
      </c>
      <c r="C861" s="82" t="s">
        <v>80</v>
      </c>
      <c r="D861" s="82" t="s">
        <v>733</v>
      </c>
      <c r="E861" s="82" t="s">
        <v>15</v>
      </c>
      <c r="F861" s="82" t="s">
        <v>11</v>
      </c>
      <c r="G861" s="266">
        <v>8.1154519999999994</v>
      </c>
    </row>
    <row r="862" spans="1:8" s="81" customFormat="1" x14ac:dyDescent="0.25">
      <c r="A862" s="82" t="s">
        <v>643</v>
      </c>
      <c r="B862" s="82" t="s">
        <v>644</v>
      </c>
      <c r="C862" s="82" t="s">
        <v>63</v>
      </c>
      <c r="D862" s="82" t="s">
        <v>64</v>
      </c>
      <c r="E862" s="82" t="s">
        <v>15</v>
      </c>
      <c r="F862" s="82" t="s">
        <v>11</v>
      </c>
      <c r="G862" s="266">
        <v>17.636956999999999</v>
      </c>
    </row>
    <row r="863" spans="1:8" s="28" customFormat="1" x14ac:dyDescent="0.25">
      <c r="A863" s="86" t="s">
        <v>599</v>
      </c>
      <c r="B863" s="86" t="s">
        <v>600</v>
      </c>
      <c r="C863" s="86" t="s">
        <v>75</v>
      </c>
      <c r="D863" s="86" t="s">
        <v>76</v>
      </c>
      <c r="E863" s="86" t="s">
        <v>726</v>
      </c>
      <c r="F863" s="86" t="s">
        <v>105</v>
      </c>
      <c r="G863" s="266">
        <v>229.42159000000001</v>
      </c>
    </row>
    <row r="864" spans="1:8" s="129" customFormat="1" x14ac:dyDescent="0.25">
      <c r="A864" s="130" t="s">
        <v>424</v>
      </c>
      <c r="B864" s="130" t="s">
        <v>425</v>
      </c>
      <c r="C864" s="130" t="s">
        <v>30</v>
      </c>
      <c r="D864" s="130" t="s">
        <v>732</v>
      </c>
      <c r="E864" s="130" t="s">
        <v>727</v>
      </c>
      <c r="F864" s="130" t="s">
        <v>11</v>
      </c>
      <c r="G864" s="266">
        <v>1.0193192</v>
      </c>
      <c r="H864" s="131"/>
    </row>
    <row r="865" spans="1:8" s="28" customFormat="1" x14ac:dyDescent="0.25">
      <c r="A865" s="86" t="s">
        <v>722</v>
      </c>
      <c r="B865" s="86" t="s">
        <v>723</v>
      </c>
      <c r="C865" s="86" t="s">
        <v>30</v>
      </c>
      <c r="D865" s="86" t="s">
        <v>732</v>
      </c>
      <c r="E865" s="86" t="s">
        <v>726</v>
      </c>
      <c r="F865" s="86" t="s">
        <v>35</v>
      </c>
      <c r="G865" s="266">
        <v>42.457363000000001</v>
      </c>
    </row>
    <row r="866" spans="1:8" s="81" customFormat="1" x14ac:dyDescent="0.25">
      <c r="A866" s="82" t="s">
        <v>95</v>
      </c>
      <c r="B866" s="82" t="s">
        <v>96</v>
      </c>
      <c r="C866" s="82" t="s">
        <v>30</v>
      </c>
      <c r="D866" s="82" t="s">
        <v>732</v>
      </c>
      <c r="E866" s="82" t="s">
        <v>728</v>
      </c>
      <c r="F866" s="82" t="s">
        <v>11</v>
      </c>
      <c r="G866" s="266">
        <v>16.097329999999999</v>
      </c>
      <c r="H866" s="83"/>
    </row>
    <row r="867" spans="1:8" s="182" customFormat="1" x14ac:dyDescent="0.25">
      <c r="A867" s="183" t="s">
        <v>237</v>
      </c>
      <c r="B867" s="183" t="s">
        <v>238</v>
      </c>
      <c r="C867" s="183" t="s">
        <v>63</v>
      </c>
      <c r="D867" s="183" t="s">
        <v>64</v>
      </c>
      <c r="E867" s="183" t="s">
        <v>727</v>
      </c>
      <c r="F867" s="183" t="s">
        <v>77</v>
      </c>
      <c r="G867" s="266">
        <v>3.8651145999999997E-2</v>
      </c>
      <c r="H867" s="184"/>
    </row>
    <row r="868" spans="1:8" s="81" customFormat="1" x14ac:dyDescent="0.25">
      <c r="A868" s="82" t="s">
        <v>694</v>
      </c>
      <c r="B868" s="82" t="s">
        <v>695</v>
      </c>
      <c r="C868" s="82" t="s">
        <v>30</v>
      </c>
      <c r="D868" s="82" t="s">
        <v>732</v>
      </c>
      <c r="E868" s="82" t="s">
        <v>728</v>
      </c>
      <c r="F868" s="82" t="s">
        <v>11</v>
      </c>
      <c r="G868" s="266">
        <v>21.21923</v>
      </c>
      <c r="H868" s="83"/>
    </row>
    <row r="869" spans="1:8" s="28" customFormat="1" x14ac:dyDescent="0.25">
      <c r="A869" s="86" t="s">
        <v>724</v>
      </c>
      <c r="B869" s="86" t="s">
        <v>725</v>
      </c>
      <c r="C869" s="86" t="s">
        <v>63</v>
      </c>
      <c r="D869" s="86" t="s">
        <v>64</v>
      </c>
      <c r="E869" s="86" t="s">
        <v>726</v>
      </c>
      <c r="F869" s="86" t="s">
        <v>35</v>
      </c>
      <c r="G869" s="266">
        <v>19.843889999999998</v>
      </c>
    </row>
    <row r="870" spans="1:8" s="81" customFormat="1" x14ac:dyDescent="0.25">
      <c r="A870" s="82" t="s">
        <v>335</v>
      </c>
      <c r="B870" s="82" t="s">
        <v>336</v>
      </c>
      <c r="C870" s="82" t="s">
        <v>80</v>
      </c>
      <c r="D870" s="82" t="s">
        <v>733</v>
      </c>
      <c r="E870" s="82" t="s">
        <v>728</v>
      </c>
      <c r="F870" s="82" t="s">
        <v>11</v>
      </c>
      <c r="G870" s="266">
        <v>32.369030000000002</v>
      </c>
      <c r="H870" s="83"/>
    </row>
    <row r="871" spans="1:8" s="199" customFormat="1" x14ac:dyDescent="0.25">
      <c r="A871" s="305" t="s">
        <v>486</v>
      </c>
      <c r="B871" s="305" t="s">
        <v>487</v>
      </c>
      <c r="C871" s="311">
        <v>243000643</v>
      </c>
      <c r="D871" s="305" t="s">
        <v>733</v>
      </c>
      <c r="E871" s="305" t="s">
        <v>726</v>
      </c>
      <c r="F871" s="305" t="s">
        <v>761</v>
      </c>
      <c r="G871" s="266">
        <f>communesZI!H104</f>
        <v>8.568078000000007</v>
      </c>
      <c r="H871" s="199" t="s">
        <v>755</v>
      </c>
    </row>
    <row r="872" spans="1:8" s="199" customFormat="1" x14ac:dyDescent="0.25">
      <c r="A872" s="305" t="s">
        <v>659</v>
      </c>
      <c r="B872" s="305" t="s">
        <v>660</v>
      </c>
      <c r="C872" s="311">
        <v>243000643</v>
      </c>
      <c r="D872" s="305" t="s">
        <v>733</v>
      </c>
      <c r="E872" s="305" t="s">
        <v>726</v>
      </c>
      <c r="F872" s="305" t="s">
        <v>761</v>
      </c>
      <c r="G872" s="266">
        <f>communesZI!H161</f>
        <v>21.881902</v>
      </c>
      <c r="H872" s="199" t="s">
        <v>846</v>
      </c>
    </row>
    <row r="873" spans="1:8" s="199" customFormat="1" x14ac:dyDescent="0.25">
      <c r="A873" s="305" t="s">
        <v>136</v>
      </c>
      <c r="B873" s="305" t="s">
        <v>137</v>
      </c>
      <c r="C873" s="311">
        <v>200034411</v>
      </c>
      <c r="D873" s="305" t="s">
        <v>738</v>
      </c>
      <c r="E873" s="305" t="s">
        <v>726</v>
      </c>
      <c r="F873" s="305" t="s">
        <v>761</v>
      </c>
      <c r="G873" s="266">
        <f>communesZI!H145</f>
        <v>66.774255999999994</v>
      </c>
      <c r="H873" s="199" t="s">
        <v>755</v>
      </c>
    </row>
    <row r="874" spans="1:8" s="199" customFormat="1" x14ac:dyDescent="0.25">
      <c r="A874" s="311">
        <v>30354</v>
      </c>
      <c r="B874" s="305" t="s">
        <v>799</v>
      </c>
      <c r="C874" s="311">
        <v>243000643</v>
      </c>
      <c r="D874" s="305" t="s">
        <v>733</v>
      </c>
      <c r="E874" s="305" t="s">
        <v>726</v>
      </c>
      <c r="F874" s="305" t="s">
        <v>761</v>
      </c>
      <c r="G874" s="306">
        <f>communesZI!H172</f>
        <v>18.9955</v>
      </c>
      <c r="H874" s="199" t="s">
        <v>846</v>
      </c>
    </row>
    <row r="875" spans="1:8" s="199" customFormat="1" x14ac:dyDescent="0.25">
      <c r="A875" s="305" t="s">
        <v>93</v>
      </c>
      <c r="B875" s="305" t="s">
        <v>94</v>
      </c>
      <c r="C875" s="311">
        <v>200066918</v>
      </c>
      <c r="D875" s="305" t="s">
        <v>732</v>
      </c>
      <c r="E875" s="305" t="s">
        <v>726</v>
      </c>
      <c r="F875" s="305" t="s">
        <v>761</v>
      </c>
      <c r="G875" s="266">
        <f>communesZI!H212</f>
        <v>291.83551400000005</v>
      </c>
      <c r="H875" s="199" t="s">
        <v>846</v>
      </c>
    </row>
    <row r="879" spans="1:8" x14ac:dyDescent="0.25">
      <c r="G879" s="229">
        <f>SUM(G2:G875)</f>
        <v>130994.21179392132</v>
      </c>
    </row>
  </sheetData>
  <autoFilter ref="A1:G875" xr:uid="{00000000-0009-0000-00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G365"/>
  <sheetViews>
    <sheetView tabSelected="1" topLeftCell="C331" zoomScaleNormal="100" workbookViewId="0">
      <selection activeCell="K357" sqref="K357"/>
    </sheetView>
  </sheetViews>
  <sheetFormatPr baseColWidth="10" defaultRowHeight="15" x14ac:dyDescent="0.25"/>
  <cols>
    <col min="1" max="1" width="6.7109375" style="3" customWidth="1"/>
    <col min="2" max="2" width="8.28515625" style="3" customWidth="1"/>
    <col min="3" max="3" width="16.42578125" style="3" customWidth="1"/>
    <col min="4" max="4" width="11.42578125" style="3"/>
    <col min="5" max="5" width="19" style="3" customWidth="1"/>
    <col min="6" max="6" width="15.85546875" style="2" customWidth="1"/>
    <col min="7" max="7" width="13.85546875" style="3" customWidth="1"/>
    <col min="8" max="13" width="13.85546875" style="2" customWidth="1"/>
    <col min="14" max="14" width="9.42578125" style="2" customWidth="1"/>
    <col min="15" max="15" width="11.28515625" style="2" customWidth="1"/>
    <col min="16" max="16" width="10.28515625" style="2" customWidth="1"/>
    <col min="17" max="17" width="11.5703125" style="2" customWidth="1"/>
    <col min="18" max="18" width="13.85546875" style="41" customWidth="1"/>
    <col min="19" max="19" width="13.85546875" style="328" customWidth="1"/>
    <col min="20" max="20" width="15.5703125" style="2" customWidth="1"/>
    <col min="21" max="21" width="13" style="2" customWidth="1"/>
    <col min="22" max="22" width="12.42578125" style="2" customWidth="1"/>
    <col min="23" max="23" width="14.28515625" style="2" customWidth="1"/>
    <col min="24" max="25" width="14.140625" style="2" customWidth="1"/>
    <col min="26" max="26" width="12.7109375" style="2" customWidth="1"/>
    <col min="27" max="27" width="12.140625" style="2" customWidth="1"/>
    <col min="28" max="28" width="15.85546875" style="2" customWidth="1"/>
    <col min="29" max="29" width="12.28515625" style="218" customWidth="1"/>
    <col min="30" max="258" width="11.42578125" style="3"/>
    <col min="259" max="259" width="6.7109375" style="3" customWidth="1"/>
    <col min="260" max="260" width="8.28515625" style="3" customWidth="1"/>
    <col min="261" max="261" width="16.42578125" style="3" customWidth="1"/>
    <col min="262" max="262" width="11.42578125" style="3"/>
    <col min="263" max="263" width="19" style="3" customWidth="1"/>
    <col min="264" max="264" width="15.85546875" style="3" customWidth="1"/>
    <col min="265" max="271" width="13.85546875" style="3" customWidth="1"/>
    <col min="272" max="272" width="11.28515625" style="3" customWidth="1"/>
    <col min="273" max="273" width="10.28515625" style="3" customWidth="1"/>
    <col min="274" max="274" width="11.5703125" style="3" customWidth="1"/>
    <col min="275" max="275" width="13.85546875" style="3" customWidth="1"/>
    <col min="276" max="276" width="15.5703125" style="3" customWidth="1"/>
    <col min="277" max="277" width="13" style="3" customWidth="1"/>
    <col min="278" max="278" width="12.42578125" style="3" customWidth="1"/>
    <col min="279" max="279" width="14.28515625" style="3" customWidth="1"/>
    <col min="280" max="281" width="14.140625" style="3" customWidth="1"/>
    <col min="282" max="282" width="12.140625" style="3" customWidth="1"/>
    <col min="283" max="283" width="15.85546875" style="3" customWidth="1"/>
    <col min="284" max="284" width="11.5703125" style="3" customWidth="1"/>
    <col min="285" max="285" width="12.28515625" style="3" customWidth="1"/>
    <col min="286" max="514" width="11.42578125" style="3"/>
    <col min="515" max="515" width="6.7109375" style="3" customWidth="1"/>
    <col min="516" max="516" width="8.28515625" style="3" customWidth="1"/>
    <col min="517" max="517" width="16.42578125" style="3" customWidth="1"/>
    <col min="518" max="518" width="11.42578125" style="3"/>
    <col min="519" max="519" width="19" style="3" customWidth="1"/>
    <col min="520" max="520" width="15.85546875" style="3" customWidth="1"/>
    <col min="521" max="527" width="13.85546875" style="3" customWidth="1"/>
    <col min="528" max="528" width="11.28515625" style="3" customWidth="1"/>
    <col min="529" max="529" width="10.28515625" style="3" customWidth="1"/>
    <col min="530" max="530" width="11.5703125" style="3" customWidth="1"/>
    <col min="531" max="531" width="13.85546875" style="3" customWidth="1"/>
    <col min="532" max="532" width="15.5703125" style="3" customWidth="1"/>
    <col min="533" max="533" width="13" style="3" customWidth="1"/>
    <col min="534" max="534" width="12.42578125" style="3" customWidth="1"/>
    <col min="535" max="535" width="14.28515625" style="3" customWidth="1"/>
    <col min="536" max="537" width="14.140625" style="3" customWidth="1"/>
    <col min="538" max="538" width="12.140625" style="3" customWidth="1"/>
    <col min="539" max="539" width="15.85546875" style="3" customWidth="1"/>
    <col min="540" max="540" width="11.5703125" style="3" customWidth="1"/>
    <col min="541" max="541" width="12.28515625" style="3" customWidth="1"/>
    <col min="542" max="770" width="11.42578125" style="3"/>
    <col min="771" max="771" width="6.7109375" style="3" customWidth="1"/>
    <col min="772" max="772" width="8.28515625" style="3" customWidth="1"/>
    <col min="773" max="773" width="16.42578125" style="3" customWidth="1"/>
    <col min="774" max="774" width="11.42578125" style="3"/>
    <col min="775" max="775" width="19" style="3" customWidth="1"/>
    <col min="776" max="776" width="15.85546875" style="3" customWidth="1"/>
    <col min="777" max="783" width="13.85546875" style="3" customWidth="1"/>
    <col min="784" max="784" width="11.28515625" style="3" customWidth="1"/>
    <col min="785" max="785" width="10.28515625" style="3" customWidth="1"/>
    <col min="786" max="786" width="11.5703125" style="3" customWidth="1"/>
    <col min="787" max="787" width="13.85546875" style="3" customWidth="1"/>
    <col min="788" max="788" width="15.5703125" style="3" customWidth="1"/>
    <col min="789" max="789" width="13" style="3" customWidth="1"/>
    <col min="790" max="790" width="12.42578125" style="3" customWidth="1"/>
    <col min="791" max="791" width="14.28515625" style="3" customWidth="1"/>
    <col min="792" max="793" width="14.140625" style="3" customWidth="1"/>
    <col min="794" max="794" width="12.140625" style="3" customWidth="1"/>
    <col min="795" max="795" width="15.85546875" style="3" customWidth="1"/>
    <col min="796" max="796" width="11.5703125" style="3" customWidth="1"/>
    <col min="797" max="797" width="12.28515625" style="3" customWidth="1"/>
    <col min="798" max="1026" width="11.42578125" style="3"/>
    <col min="1027" max="1027" width="6.7109375" style="3" customWidth="1"/>
    <col min="1028" max="1028" width="8.28515625" style="3" customWidth="1"/>
    <col min="1029" max="1029" width="16.42578125" style="3" customWidth="1"/>
    <col min="1030" max="1030" width="11.42578125" style="3"/>
    <col min="1031" max="1031" width="19" style="3" customWidth="1"/>
    <col min="1032" max="1032" width="15.85546875" style="3" customWidth="1"/>
    <col min="1033" max="1039" width="13.85546875" style="3" customWidth="1"/>
    <col min="1040" max="1040" width="11.28515625" style="3" customWidth="1"/>
    <col min="1041" max="1041" width="10.28515625" style="3" customWidth="1"/>
    <col min="1042" max="1042" width="11.5703125" style="3" customWidth="1"/>
    <col min="1043" max="1043" width="13.85546875" style="3" customWidth="1"/>
    <col min="1044" max="1044" width="15.5703125" style="3" customWidth="1"/>
    <col min="1045" max="1045" width="13" style="3" customWidth="1"/>
    <col min="1046" max="1046" width="12.42578125" style="3" customWidth="1"/>
    <col min="1047" max="1047" width="14.28515625" style="3" customWidth="1"/>
    <col min="1048" max="1049" width="14.140625" style="3" customWidth="1"/>
    <col min="1050" max="1050" width="12.140625" style="3" customWidth="1"/>
    <col min="1051" max="1051" width="15.85546875" style="3" customWidth="1"/>
    <col min="1052" max="1052" width="11.5703125" style="3" customWidth="1"/>
    <col min="1053" max="1053" width="12.28515625" style="3" customWidth="1"/>
    <col min="1054" max="1282" width="11.42578125" style="3"/>
    <col min="1283" max="1283" width="6.7109375" style="3" customWidth="1"/>
    <col min="1284" max="1284" width="8.28515625" style="3" customWidth="1"/>
    <col min="1285" max="1285" width="16.42578125" style="3" customWidth="1"/>
    <col min="1286" max="1286" width="11.42578125" style="3"/>
    <col min="1287" max="1287" width="19" style="3" customWidth="1"/>
    <col min="1288" max="1288" width="15.85546875" style="3" customWidth="1"/>
    <col min="1289" max="1295" width="13.85546875" style="3" customWidth="1"/>
    <col min="1296" max="1296" width="11.28515625" style="3" customWidth="1"/>
    <col min="1297" max="1297" width="10.28515625" style="3" customWidth="1"/>
    <col min="1298" max="1298" width="11.5703125" style="3" customWidth="1"/>
    <col min="1299" max="1299" width="13.85546875" style="3" customWidth="1"/>
    <col min="1300" max="1300" width="15.5703125" style="3" customWidth="1"/>
    <col min="1301" max="1301" width="13" style="3" customWidth="1"/>
    <col min="1302" max="1302" width="12.42578125" style="3" customWidth="1"/>
    <col min="1303" max="1303" width="14.28515625" style="3" customWidth="1"/>
    <col min="1304" max="1305" width="14.140625" style="3" customWidth="1"/>
    <col min="1306" max="1306" width="12.140625" style="3" customWidth="1"/>
    <col min="1307" max="1307" width="15.85546875" style="3" customWidth="1"/>
    <col min="1308" max="1308" width="11.5703125" style="3" customWidth="1"/>
    <col min="1309" max="1309" width="12.28515625" style="3" customWidth="1"/>
    <col min="1310" max="1538" width="11.42578125" style="3"/>
    <col min="1539" max="1539" width="6.7109375" style="3" customWidth="1"/>
    <col min="1540" max="1540" width="8.28515625" style="3" customWidth="1"/>
    <col min="1541" max="1541" width="16.42578125" style="3" customWidth="1"/>
    <col min="1542" max="1542" width="11.42578125" style="3"/>
    <col min="1543" max="1543" width="19" style="3" customWidth="1"/>
    <col min="1544" max="1544" width="15.85546875" style="3" customWidth="1"/>
    <col min="1545" max="1551" width="13.85546875" style="3" customWidth="1"/>
    <col min="1552" max="1552" width="11.28515625" style="3" customWidth="1"/>
    <col min="1553" max="1553" width="10.28515625" style="3" customWidth="1"/>
    <col min="1554" max="1554" width="11.5703125" style="3" customWidth="1"/>
    <col min="1555" max="1555" width="13.85546875" style="3" customWidth="1"/>
    <col min="1556" max="1556" width="15.5703125" style="3" customWidth="1"/>
    <col min="1557" max="1557" width="13" style="3" customWidth="1"/>
    <col min="1558" max="1558" width="12.42578125" style="3" customWidth="1"/>
    <col min="1559" max="1559" width="14.28515625" style="3" customWidth="1"/>
    <col min="1560" max="1561" width="14.140625" style="3" customWidth="1"/>
    <col min="1562" max="1562" width="12.140625" style="3" customWidth="1"/>
    <col min="1563" max="1563" width="15.85546875" style="3" customWidth="1"/>
    <col min="1564" max="1564" width="11.5703125" style="3" customWidth="1"/>
    <col min="1565" max="1565" width="12.28515625" style="3" customWidth="1"/>
    <col min="1566" max="1794" width="11.42578125" style="3"/>
    <col min="1795" max="1795" width="6.7109375" style="3" customWidth="1"/>
    <col min="1796" max="1796" width="8.28515625" style="3" customWidth="1"/>
    <col min="1797" max="1797" width="16.42578125" style="3" customWidth="1"/>
    <col min="1798" max="1798" width="11.42578125" style="3"/>
    <col min="1799" max="1799" width="19" style="3" customWidth="1"/>
    <col min="1800" max="1800" width="15.85546875" style="3" customWidth="1"/>
    <col min="1801" max="1807" width="13.85546875" style="3" customWidth="1"/>
    <col min="1808" max="1808" width="11.28515625" style="3" customWidth="1"/>
    <col min="1809" max="1809" width="10.28515625" style="3" customWidth="1"/>
    <col min="1810" max="1810" width="11.5703125" style="3" customWidth="1"/>
    <col min="1811" max="1811" width="13.85546875" style="3" customWidth="1"/>
    <col min="1812" max="1812" width="15.5703125" style="3" customWidth="1"/>
    <col min="1813" max="1813" width="13" style="3" customWidth="1"/>
    <col min="1814" max="1814" width="12.42578125" style="3" customWidth="1"/>
    <col min="1815" max="1815" width="14.28515625" style="3" customWidth="1"/>
    <col min="1816" max="1817" width="14.140625" style="3" customWidth="1"/>
    <col min="1818" max="1818" width="12.140625" style="3" customWidth="1"/>
    <col min="1819" max="1819" width="15.85546875" style="3" customWidth="1"/>
    <col min="1820" max="1820" width="11.5703125" style="3" customWidth="1"/>
    <col min="1821" max="1821" width="12.28515625" style="3" customWidth="1"/>
    <col min="1822" max="2050" width="11.42578125" style="3"/>
    <col min="2051" max="2051" width="6.7109375" style="3" customWidth="1"/>
    <col min="2052" max="2052" width="8.28515625" style="3" customWidth="1"/>
    <col min="2053" max="2053" width="16.42578125" style="3" customWidth="1"/>
    <col min="2054" max="2054" width="11.42578125" style="3"/>
    <col min="2055" max="2055" width="19" style="3" customWidth="1"/>
    <col min="2056" max="2056" width="15.85546875" style="3" customWidth="1"/>
    <col min="2057" max="2063" width="13.85546875" style="3" customWidth="1"/>
    <col min="2064" max="2064" width="11.28515625" style="3" customWidth="1"/>
    <col min="2065" max="2065" width="10.28515625" style="3" customWidth="1"/>
    <col min="2066" max="2066" width="11.5703125" style="3" customWidth="1"/>
    <col min="2067" max="2067" width="13.85546875" style="3" customWidth="1"/>
    <col min="2068" max="2068" width="15.5703125" style="3" customWidth="1"/>
    <col min="2069" max="2069" width="13" style="3" customWidth="1"/>
    <col min="2070" max="2070" width="12.42578125" style="3" customWidth="1"/>
    <col min="2071" max="2071" width="14.28515625" style="3" customWidth="1"/>
    <col min="2072" max="2073" width="14.140625" style="3" customWidth="1"/>
    <col min="2074" max="2074" width="12.140625" style="3" customWidth="1"/>
    <col min="2075" max="2075" width="15.85546875" style="3" customWidth="1"/>
    <col min="2076" max="2076" width="11.5703125" style="3" customWidth="1"/>
    <col min="2077" max="2077" width="12.28515625" style="3" customWidth="1"/>
    <col min="2078" max="2306" width="11.42578125" style="3"/>
    <col min="2307" max="2307" width="6.7109375" style="3" customWidth="1"/>
    <col min="2308" max="2308" width="8.28515625" style="3" customWidth="1"/>
    <col min="2309" max="2309" width="16.42578125" style="3" customWidth="1"/>
    <col min="2310" max="2310" width="11.42578125" style="3"/>
    <col min="2311" max="2311" width="19" style="3" customWidth="1"/>
    <col min="2312" max="2312" width="15.85546875" style="3" customWidth="1"/>
    <col min="2313" max="2319" width="13.85546875" style="3" customWidth="1"/>
    <col min="2320" max="2320" width="11.28515625" style="3" customWidth="1"/>
    <col min="2321" max="2321" width="10.28515625" style="3" customWidth="1"/>
    <col min="2322" max="2322" width="11.5703125" style="3" customWidth="1"/>
    <col min="2323" max="2323" width="13.85546875" style="3" customWidth="1"/>
    <col min="2324" max="2324" width="15.5703125" style="3" customWidth="1"/>
    <col min="2325" max="2325" width="13" style="3" customWidth="1"/>
    <col min="2326" max="2326" width="12.42578125" style="3" customWidth="1"/>
    <col min="2327" max="2327" width="14.28515625" style="3" customWidth="1"/>
    <col min="2328" max="2329" width="14.140625" style="3" customWidth="1"/>
    <col min="2330" max="2330" width="12.140625" style="3" customWidth="1"/>
    <col min="2331" max="2331" width="15.85546875" style="3" customWidth="1"/>
    <col min="2332" max="2332" width="11.5703125" style="3" customWidth="1"/>
    <col min="2333" max="2333" width="12.28515625" style="3" customWidth="1"/>
    <col min="2334" max="2562" width="11.42578125" style="3"/>
    <col min="2563" max="2563" width="6.7109375" style="3" customWidth="1"/>
    <col min="2564" max="2564" width="8.28515625" style="3" customWidth="1"/>
    <col min="2565" max="2565" width="16.42578125" style="3" customWidth="1"/>
    <col min="2566" max="2566" width="11.42578125" style="3"/>
    <col min="2567" max="2567" width="19" style="3" customWidth="1"/>
    <col min="2568" max="2568" width="15.85546875" style="3" customWidth="1"/>
    <col min="2569" max="2575" width="13.85546875" style="3" customWidth="1"/>
    <col min="2576" max="2576" width="11.28515625" style="3" customWidth="1"/>
    <col min="2577" max="2577" width="10.28515625" style="3" customWidth="1"/>
    <col min="2578" max="2578" width="11.5703125" style="3" customWidth="1"/>
    <col min="2579" max="2579" width="13.85546875" style="3" customWidth="1"/>
    <col min="2580" max="2580" width="15.5703125" style="3" customWidth="1"/>
    <col min="2581" max="2581" width="13" style="3" customWidth="1"/>
    <col min="2582" max="2582" width="12.42578125" style="3" customWidth="1"/>
    <col min="2583" max="2583" width="14.28515625" style="3" customWidth="1"/>
    <col min="2584" max="2585" width="14.140625" style="3" customWidth="1"/>
    <col min="2586" max="2586" width="12.140625" style="3" customWidth="1"/>
    <col min="2587" max="2587" width="15.85546875" style="3" customWidth="1"/>
    <col min="2588" max="2588" width="11.5703125" style="3" customWidth="1"/>
    <col min="2589" max="2589" width="12.28515625" style="3" customWidth="1"/>
    <col min="2590" max="2818" width="11.42578125" style="3"/>
    <col min="2819" max="2819" width="6.7109375" style="3" customWidth="1"/>
    <col min="2820" max="2820" width="8.28515625" style="3" customWidth="1"/>
    <col min="2821" max="2821" width="16.42578125" style="3" customWidth="1"/>
    <col min="2822" max="2822" width="11.42578125" style="3"/>
    <col min="2823" max="2823" width="19" style="3" customWidth="1"/>
    <col min="2824" max="2824" width="15.85546875" style="3" customWidth="1"/>
    <col min="2825" max="2831" width="13.85546875" style="3" customWidth="1"/>
    <col min="2832" max="2832" width="11.28515625" style="3" customWidth="1"/>
    <col min="2833" max="2833" width="10.28515625" style="3" customWidth="1"/>
    <col min="2834" max="2834" width="11.5703125" style="3" customWidth="1"/>
    <col min="2835" max="2835" width="13.85546875" style="3" customWidth="1"/>
    <col min="2836" max="2836" width="15.5703125" style="3" customWidth="1"/>
    <col min="2837" max="2837" width="13" style="3" customWidth="1"/>
    <col min="2838" max="2838" width="12.42578125" style="3" customWidth="1"/>
    <col min="2839" max="2839" width="14.28515625" style="3" customWidth="1"/>
    <col min="2840" max="2841" width="14.140625" style="3" customWidth="1"/>
    <col min="2842" max="2842" width="12.140625" style="3" customWidth="1"/>
    <col min="2843" max="2843" width="15.85546875" style="3" customWidth="1"/>
    <col min="2844" max="2844" width="11.5703125" style="3" customWidth="1"/>
    <col min="2845" max="2845" width="12.28515625" style="3" customWidth="1"/>
    <col min="2846" max="3074" width="11.42578125" style="3"/>
    <col min="3075" max="3075" width="6.7109375" style="3" customWidth="1"/>
    <col min="3076" max="3076" width="8.28515625" style="3" customWidth="1"/>
    <col min="3077" max="3077" width="16.42578125" style="3" customWidth="1"/>
    <col min="3078" max="3078" width="11.42578125" style="3"/>
    <col min="3079" max="3079" width="19" style="3" customWidth="1"/>
    <col min="3080" max="3080" width="15.85546875" style="3" customWidth="1"/>
    <col min="3081" max="3087" width="13.85546875" style="3" customWidth="1"/>
    <col min="3088" max="3088" width="11.28515625" style="3" customWidth="1"/>
    <col min="3089" max="3089" width="10.28515625" style="3" customWidth="1"/>
    <col min="3090" max="3090" width="11.5703125" style="3" customWidth="1"/>
    <col min="3091" max="3091" width="13.85546875" style="3" customWidth="1"/>
    <col min="3092" max="3092" width="15.5703125" style="3" customWidth="1"/>
    <col min="3093" max="3093" width="13" style="3" customWidth="1"/>
    <col min="3094" max="3094" width="12.42578125" style="3" customWidth="1"/>
    <col min="3095" max="3095" width="14.28515625" style="3" customWidth="1"/>
    <col min="3096" max="3097" width="14.140625" style="3" customWidth="1"/>
    <col min="3098" max="3098" width="12.140625" style="3" customWidth="1"/>
    <col min="3099" max="3099" width="15.85546875" style="3" customWidth="1"/>
    <col min="3100" max="3100" width="11.5703125" style="3" customWidth="1"/>
    <col min="3101" max="3101" width="12.28515625" style="3" customWidth="1"/>
    <col min="3102" max="3330" width="11.42578125" style="3"/>
    <col min="3331" max="3331" width="6.7109375" style="3" customWidth="1"/>
    <col min="3332" max="3332" width="8.28515625" style="3" customWidth="1"/>
    <col min="3333" max="3333" width="16.42578125" style="3" customWidth="1"/>
    <col min="3334" max="3334" width="11.42578125" style="3"/>
    <col min="3335" max="3335" width="19" style="3" customWidth="1"/>
    <col min="3336" max="3336" width="15.85546875" style="3" customWidth="1"/>
    <col min="3337" max="3343" width="13.85546875" style="3" customWidth="1"/>
    <col min="3344" max="3344" width="11.28515625" style="3" customWidth="1"/>
    <col min="3345" max="3345" width="10.28515625" style="3" customWidth="1"/>
    <col min="3346" max="3346" width="11.5703125" style="3" customWidth="1"/>
    <col min="3347" max="3347" width="13.85546875" style="3" customWidth="1"/>
    <col min="3348" max="3348" width="15.5703125" style="3" customWidth="1"/>
    <col min="3349" max="3349" width="13" style="3" customWidth="1"/>
    <col min="3350" max="3350" width="12.42578125" style="3" customWidth="1"/>
    <col min="3351" max="3351" width="14.28515625" style="3" customWidth="1"/>
    <col min="3352" max="3353" width="14.140625" style="3" customWidth="1"/>
    <col min="3354" max="3354" width="12.140625" style="3" customWidth="1"/>
    <col min="3355" max="3355" width="15.85546875" style="3" customWidth="1"/>
    <col min="3356" max="3356" width="11.5703125" style="3" customWidth="1"/>
    <col min="3357" max="3357" width="12.28515625" style="3" customWidth="1"/>
    <col min="3358" max="3586" width="11.42578125" style="3"/>
    <col min="3587" max="3587" width="6.7109375" style="3" customWidth="1"/>
    <col min="3588" max="3588" width="8.28515625" style="3" customWidth="1"/>
    <col min="3589" max="3589" width="16.42578125" style="3" customWidth="1"/>
    <col min="3590" max="3590" width="11.42578125" style="3"/>
    <col min="3591" max="3591" width="19" style="3" customWidth="1"/>
    <col min="3592" max="3592" width="15.85546875" style="3" customWidth="1"/>
    <col min="3593" max="3599" width="13.85546875" style="3" customWidth="1"/>
    <col min="3600" max="3600" width="11.28515625" style="3" customWidth="1"/>
    <col min="3601" max="3601" width="10.28515625" style="3" customWidth="1"/>
    <col min="3602" max="3602" width="11.5703125" style="3" customWidth="1"/>
    <col min="3603" max="3603" width="13.85546875" style="3" customWidth="1"/>
    <col min="3604" max="3604" width="15.5703125" style="3" customWidth="1"/>
    <col min="3605" max="3605" width="13" style="3" customWidth="1"/>
    <col min="3606" max="3606" width="12.42578125" style="3" customWidth="1"/>
    <col min="3607" max="3607" width="14.28515625" style="3" customWidth="1"/>
    <col min="3608" max="3609" width="14.140625" style="3" customWidth="1"/>
    <col min="3610" max="3610" width="12.140625" style="3" customWidth="1"/>
    <col min="3611" max="3611" width="15.85546875" style="3" customWidth="1"/>
    <col min="3612" max="3612" width="11.5703125" style="3" customWidth="1"/>
    <col min="3613" max="3613" width="12.28515625" style="3" customWidth="1"/>
    <col min="3614" max="3842" width="11.42578125" style="3"/>
    <col min="3843" max="3843" width="6.7109375" style="3" customWidth="1"/>
    <col min="3844" max="3844" width="8.28515625" style="3" customWidth="1"/>
    <col min="3845" max="3845" width="16.42578125" style="3" customWidth="1"/>
    <col min="3846" max="3846" width="11.42578125" style="3"/>
    <col min="3847" max="3847" width="19" style="3" customWidth="1"/>
    <col min="3848" max="3848" width="15.85546875" style="3" customWidth="1"/>
    <col min="3849" max="3855" width="13.85546875" style="3" customWidth="1"/>
    <col min="3856" max="3856" width="11.28515625" style="3" customWidth="1"/>
    <col min="3857" max="3857" width="10.28515625" style="3" customWidth="1"/>
    <col min="3858" max="3858" width="11.5703125" style="3" customWidth="1"/>
    <col min="3859" max="3859" width="13.85546875" style="3" customWidth="1"/>
    <col min="3860" max="3860" width="15.5703125" style="3" customWidth="1"/>
    <col min="3861" max="3861" width="13" style="3" customWidth="1"/>
    <col min="3862" max="3862" width="12.42578125" style="3" customWidth="1"/>
    <col min="3863" max="3863" width="14.28515625" style="3" customWidth="1"/>
    <col min="3864" max="3865" width="14.140625" style="3" customWidth="1"/>
    <col min="3866" max="3866" width="12.140625" style="3" customWidth="1"/>
    <col min="3867" max="3867" width="15.85546875" style="3" customWidth="1"/>
    <col min="3868" max="3868" width="11.5703125" style="3" customWidth="1"/>
    <col min="3869" max="3869" width="12.28515625" style="3" customWidth="1"/>
    <col min="3870" max="4098" width="11.42578125" style="3"/>
    <col min="4099" max="4099" width="6.7109375" style="3" customWidth="1"/>
    <col min="4100" max="4100" width="8.28515625" style="3" customWidth="1"/>
    <col min="4101" max="4101" width="16.42578125" style="3" customWidth="1"/>
    <col min="4102" max="4102" width="11.42578125" style="3"/>
    <col min="4103" max="4103" width="19" style="3" customWidth="1"/>
    <col min="4104" max="4104" width="15.85546875" style="3" customWidth="1"/>
    <col min="4105" max="4111" width="13.85546875" style="3" customWidth="1"/>
    <col min="4112" max="4112" width="11.28515625" style="3" customWidth="1"/>
    <col min="4113" max="4113" width="10.28515625" style="3" customWidth="1"/>
    <col min="4114" max="4114" width="11.5703125" style="3" customWidth="1"/>
    <col min="4115" max="4115" width="13.85546875" style="3" customWidth="1"/>
    <col min="4116" max="4116" width="15.5703125" style="3" customWidth="1"/>
    <col min="4117" max="4117" width="13" style="3" customWidth="1"/>
    <col min="4118" max="4118" width="12.42578125" style="3" customWidth="1"/>
    <col min="4119" max="4119" width="14.28515625" style="3" customWidth="1"/>
    <col min="4120" max="4121" width="14.140625" style="3" customWidth="1"/>
    <col min="4122" max="4122" width="12.140625" style="3" customWidth="1"/>
    <col min="4123" max="4123" width="15.85546875" style="3" customWidth="1"/>
    <col min="4124" max="4124" width="11.5703125" style="3" customWidth="1"/>
    <col min="4125" max="4125" width="12.28515625" style="3" customWidth="1"/>
    <col min="4126" max="4354" width="11.42578125" style="3"/>
    <col min="4355" max="4355" width="6.7109375" style="3" customWidth="1"/>
    <col min="4356" max="4356" width="8.28515625" style="3" customWidth="1"/>
    <col min="4357" max="4357" width="16.42578125" style="3" customWidth="1"/>
    <col min="4358" max="4358" width="11.42578125" style="3"/>
    <col min="4359" max="4359" width="19" style="3" customWidth="1"/>
    <col min="4360" max="4360" width="15.85546875" style="3" customWidth="1"/>
    <col min="4361" max="4367" width="13.85546875" style="3" customWidth="1"/>
    <col min="4368" max="4368" width="11.28515625" style="3" customWidth="1"/>
    <col min="4369" max="4369" width="10.28515625" style="3" customWidth="1"/>
    <col min="4370" max="4370" width="11.5703125" style="3" customWidth="1"/>
    <col min="4371" max="4371" width="13.85546875" style="3" customWidth="1"/>
    <col min="4372" max="4372" width="15.5703125" style="3" customWidth="1"/>
    <col min="4373" max="4373" width="13" style="3" customWidth="1"/>
    <col min="4374" max="4374" width="12.42578125" style="3" customWidth="1"/>
    <col min="4375" max="4375" width="14.28515625" style="3" customWidth="1"/>
    <col min="4376" max="4377" width="14.140625" style="3" customWidth="1"/>
    <col min="4378" max="4378" width="12.140625" style="3" customWidth="1"/>
    <col min="4379" max="4379" width="15.85546875" style="3" customWidth="1"/>
    <col min="4380" max="4380" width="11.5703125" style="3" customWidth="1"/>
    <col min="4381" max="4381" width="12.28515625" style="3" customWidth="1"/>
    <col min="4382" max="4610" width="11.42578125" style="3"/>
    <col min="4611" max="4611" width="6.7109375" style="3" customWidth="1"/>
    <col min="4612" max="4612" width="8.28515625" style="3" customWidth="1"/>
    <col min="4613" max="4613" width="16.42578125" style="3" customWidth="1"/>
    <col min="4614" max="4614" width="11.42578125" style="3"/>
    <col min="4615" max="4615" width="19" style="3" customWidth="1"/>
    <col min="4616" max="4616" width="15.85546875" style="3" customWidth="1"/>
    <col min="4617" max="4623" width="13.85546875" style="3" customWidth="1"/>
    <col min="4624" max="4624" width="11.28515625" style="3" customWidth="1"/>
    <col min="4625" max="4625" width="10.28515625" style="3" customWidth="1"/>
    <col min="4626" max="4626" width="11.5703125" style="3" customWidth="1"/>
    <col min="4627" max="4627" width="13.85546875" style="3" customWidth="1"/>
    <col min="4628" max="4628" width="15.5703125" style="3" customWidth="1"/>
    <col min="4629" max="4629" width="13" style="3" customWidth="1"/>
    <col min="4630" max="4630" width="12.42578125" style="3" customWidth="1"/>
    <col min="4631" max="4631" width="14.28515625" style="3" customWidth="1"/>
    <col min="4632" max="4633" width="14.140625" style="3" customWidth="1"/>
    <col min="4634" max="4634" width="12.140625" style="3" customWidth="1"/>
    <col min="4635" max="4635" width="15.85546875" style="3" customWidth="1"/>
    <col min="4636" max="4636" width="11.5703125" style="3" customWidth="1"/>
    <col min="4637" max="4637" width="12.28515625" style="3" customWidth="1"/>
    <col min="4638" max="4866" width="11.42578125" style="3"/>
    <col min="4867" max="4867" width="6.7109375" style="3" customWidth="1"/>
    <col min="4868" max="4868" width="8.28515625" style="3" customWidth="1"/>
    <col min="4869" max="4869" width="16.42578125" style="3" customWidth="1"/>
    <col min="4870" max="4870" width="11.42578125" style="3"/>
    <col min="4871" max="4871" width="19" style="3" customWidth="1"/>
    <col min="4872" max="4872" width="15.85546875" style="3" customWidth="1"/>
    <col min="4873" max="4879" width="13.85546875" style="3" customWidth="1"/>
    <col min="4880" max="4880" width="11.28515625" style="3" customWidth="1"/>
    <col min="4881" max="4881" width="10.28515625" style="3" customWidth="1"/>
    <col min="4882" max="4882" width="11.5703125" style="3" customWidth="1"/>
    <col min="4883" max="4883" width="13.85546875" style="3" customWidth="1"/>
    <col min="4884" max="4884" width="15.5703125" style="3" customWidth="1"/>
    <col min="4885" max="4885" width="13" style="3" customWidth="1"/>
    <col min="4886" max="4886" width="12.42578125" style="3" customWidth="1"/>
    <col min="4887" max="4887" width="14.28515625" style="3" customWidth="1"/>
    <col min="4888" max="4889" width="14.140625" style="3" customWidth="1"/>
    <col min="4890" max="4890" width="12.140625" style="3" customWidth="1"/>
    <col min="4891" max="4891" width="15.85546875" style="3" customWidth="1"/>
    <col min="4892" max="4892" width="11.5703125" style="3" customWidth="1"/>
    <col min="4893" max="4893" width="12.28515625" style="3" customWidth="1"/>
    <col min="4894" max="5122" width="11.42578125" style="3"/>
    <col min="5123" max="5123" width="6.7109375" style="3" customWidth="1"/>
    <col min="5124" max="5124" width="8.28515625" style="3" customWidth="1"/>
    <col min="5125" max="5125" width="16.42578125" style="3" customWidth="1"/>
    <col min="5126" max="5126" width="11.42578125" style="3"/>
    <col min="5127" max="5127" width="19" style="3" customWidth="1"/>
    <col min="5128" max="5128" width="15.85546875" style="3" customWidth="1"/>
    <col min="5129" max="5135" width="13.85546875" style="3" customWidth="1"/>
    <col min="5136" max="5136" width="11.28515625" style="3" customWidth="1"/>
    <col min="5137" max="5137" width="10.28515625" style="3" customWidth="1"/>
    <col min="5138" max="5138" width="11.5703125" style="3" customWidth="1"/>
    <col min="5139" max="5139" width="13.85546875" style="3" customWidth="1"/>
    <col min="5140" max="5140" width="15.5703125" style="3" customWidth="1"/>
    <col min="5141" max="5141" width="13" style="3" customWidth="1"/>
    <col min="5142" max="5142" width="12.42578125" style="3" customWidth="1"/>
    <col min="5143" max="5143" width="14.28515625" style="3" customWidth="1"/>
    <col min="5144" max="5145" width="14.140625" style="3" customWidth="1"/>
    <col min="5146" max="5146" width="12.140625" style="3" customWidth="1"/>
    <col min="5147" max="5147" width="15.85546875" style="3" customWidth="1"/>
    <col min="5148" max="5148" width="11.5703125" style="3" customWidth="1"/>
    <col min="5149" max="5149" width="12.28515625" style="3" customWidth="1"/>
    <col min="5150" max="5378" width="11.42578125" style="3"/>
    <col min="5379" max="5379" width="6.7109375" style="3" customWidth="1"/>
    <col min="5380" max="5380" width="8.28515625" style="3" customWidth="1"/>
    <col min="5381" max="5381" width="16.42578125" style="3" customWidth="1"/>
    <col min="5382" max="5382" width="11.42578125" style="3"/>
    <col min="5383" max="5383" width="19" style="3" customWidth="1"/>
    <col min="5384" max="5384" width="15.85546875" style="3" customWidth="1"/>
    <col min="5385" max="5391" width="13.85546875" style="3" customWidth="1"/>
    <col min="5392" max="5392" width="11.28515625" style="3" customWidth="1"/>
    <col min="5393" max="5393" width="10.28515625" style="3" customWidth="1"/>
    <col min="5394" max="5394" width="11.5703125" style="3" customWidth="1"/>
    <col min="5395" max="5395" width="13.85546875" style="3" customWidth="1"/>
    <col min="5396" max="5396" width="15.5703125" style="3" customWidth="1"/>
    <col min="5397" max="5397" width="13" style="3" customWidth="1"/>
    <col min="5398" max="5398" width="12.42578125" style="3" customWidth="1"/>
    <col min="5399" max="5399" width="14.28515625" style="3" customWidth="1"/>
    <col min="5400" max="5401" width="14.140625" style="3" customWidth="1"/>
    <col min="5402" max="5402" width="12.140625" style="3" customWidth="1"/>
    <col min="5403" max="5403" width="15.85546875" style="3" customWidth="1"/>
    <col min="5404" max="5404" width="11.5703125" style="3" customWidth="1"/>
    <col min="5405" max="5405" width="12.28515625" style="3" customWidth="1"/>
    <col min="5406" max="5634" width="11.42578125" style="3"/>
    <col min="5635" max="5635" width="6.7109375" style="3" customWidth="1"/>
    <col min="5636" max="5636" width="8.28515625" style="3" customWidth="1"/>
    <col min="5637" max="5637" width="16.42578125" style="3" customWidth="1"/>
    <col min="5638" max="5638" width="11.42578125" style="3"/>
    <col min="5639" max="5639" width="19" style="3" customWidth="1"/>
    <col min="5640" max="5640" width="15.85546875" style="3" customWidth="1"/>
    <col min="5641" max="5647" width="13.85546875" style="3" customWidth="1"/>
    <col min="5648" max="5648" width="11.28515625" style="3" customWidth="1"/>
    <col min="5649" max="5649" width="10.28515625" style="3" customWidth="1"/>
    <col min="5650" max="5650" width="11.5703125" style="3" customWidth="1"/>
    <col min="5651" max="5651" width="13.85546875" style="3" customWidth="1"/>
    <col min="5652" max="5652" width="15.5703125" style="3" customWidth="1"/>
    <col min="5653" max="5653" width="13" style="3" customWidth="1"/>
    <col min="5654" max="5654" width="12.42578125" style="3" customWidth="1"/>
    <col min="5655" max="5655" width="14.28515625" style="3" customWidth="1"/>
    <col min="5656" max="5657" width="14.140625" style="3" customWidth="1"/>
    <col min="5658" max="5658" width="12.140625" style="3" customWidth="1"/>
    <col min="5659" max="5659" width="15.85546875" style="3" customWidth="1"/>
    <col min="5660" max="5660" width="11.5703125" style="3" customWidth="1"/>
    <col min="5661" max="5661" width="12.28515625" style="3" customWidth="1"/>
    <col min="5662" max="5890" width="11.42578125" style="3"/>
    <col min="5891" max="5891" width="6.7109375" style="3" customWidth="1"/>
    <col min="5892" max="5892" width="8.28515625" style="3" customWidth="1"/>
    <col min="5893" max="5893" width="16.42578125" style="3" customWidth="1"/>
    <col min="5894" max="5894" width="11.42578125" style="3"/>
    <col min="5895" max="5895" width="19" style="3" customWidth="1"/>
    <col min="5896" max="5896" width="15.85546875" style="3" customWidth="1"/>
    <col min="5897" max="5903" width="13.85546875" style="3" customWidth="1"/>
    <col min="5904" max="5904" width="11.28515625" style="3" customWidth="1"/>
    <col min="5905" max="5905" width="10.28515625" style="3" customWidth="1"/>
    <col min="5906" max="5906" width="11.5703125" style="3" customWidth="1"/>
    <col min="5907" max="5907" width="13.85546875" style="3" customWidth="1"/>
    <col min="5908" max="5908" width="15.5703125" style="3" customWidth="1"/>
    <col min="5909" max="5909" width="13" style="3" customWidth="1"/>
    <col min="5910" max="5910" width="12.42578125" style="3" customWidth="1"/>
    <col min="5911" max="5911" width="14.28515625" style="3" customWidth="1"/>
    <col min="5912" max="5913" width="14.140625" style="3" customWidth="1"/>
    <col min="5914" max="5914" width="12.140625" style="3" customWidth="1"/>
    <col min="5915" max="5915" width="15.85546875" style="3" customWidth="1"/>
    <col min="5916" max="5916" width="11.5703125" style="3" customWidth="1"/>
    <col min="5917" max="5917" width="12.28515625" style="3" customWidth="1"/>
    <col min="5918" max="6146" width="11.42578125" style="3"/>
    <col min="6147" max="6147" width="6.7109375" style="3" customWidth="1"/>
    <col min="6148" max="6148" width="8.28515625" style="3" customWidth="1"/>
    <col min="6149" max="6149" width="16.42578125" style="3" customWidth="1"/>
    <col min="6150" max="6150" width="11.42578125" style="3"/>
    <col min="6151" max="6151" width="19" style="3" customWidth="1"/>
    <col min="6152" max="6152" width="15.85546875" style="3" customWidth="1"/>
    <col min="6153" max="6159" width="13.85546875" style="3" customWidth="1"/>
    <col min="6160" max="6160" width="11.28515625" style="3" customWidth="1"/>
    <col min="6161" max="6161" width="10.28515625" style="3" customWidth="1"/>
    <col min="6162" max="6162" width="11.5703125" style="3" customWidth="1"/>
    <col min="6163" max="6163" width="13.85546875" style="3" customWidth="1"/>
    <col min="6164" max="6164" width="15.5703125" style="3" customWidth="1"/>
    <col min="6165" max="6165" width="13" style="3" customWidth="1"/>
    <col min="6166" max="6166" width="12.42578125" style="3" customWidth="1"/>
    <col min="6167" max="6167" width="14.28515625" style="3" customWidth="1"/>
    <col min="6168" max="6169" width="14.140625" style="3" customWidth="1"/>
    <col min="6170" max="6170" width="12.140625" style="3" customWidth="1"/>
    <col min="6171" max="6171" width="15.85546875" style="3" customWidth="1"/>
    <col min="6172" max="6172" width="11.5703125" style="3" customWidth="1"/>
    <col min="6173" max="6173" width="12.28515625" style="3" customWidth="1"/>
    <col min="6174" max="6402" width="11.42578125" style="3"/>
    <col min="6403" max="6403" width="6.7109375" style="3" customWidth="1"/>
    <col min="6404" max="6404" width="8.28515625" style="3" customWidth="1"/>
    <col min="6405" max="6405" width="16.42578125" style="3" customWidth="1"/>
    <col min="6406" max="6406" width="11.42578125" style="3"/>
    <col min="6407" max="6407" width="19" style="3" customWidth="1"/>
    <col min="6408" max="6408" width="15.85546875" style="3" customWidth="1"/>
    <col min="6409" max="6415" width="13.85546875" style="3" customWidth="1"/>
    <col min="6416" max="6416" width="11.28515625" style="3" customWidth="1"/>
    <col min="6417" max="6417" width="10.28515625" style="3" customWidth="1"/>
    <col min="6418" max="6418" width="11.5703125" style="3" customWidth="1"/>
    <col min="6419" max="6419" width="13.85546875" style="3" customWidth="1"/>
    <col min="6420" max="6420" width="15.5703125" style="3" customWidth="1"/>
    <col min="6421" max="6421" width="13" style="3" customWidth="1"/>
    <col min="6422" max="6422" width="12.42578125" style="3" customWidth="1"/>
    <col min="6423" max="6423" width="14.28515625" style="3" customWidth="1"/>
    <col min="6424" max="6425" width="14.140625" style="3" customWidth="1"/>
    <col min="6426" max="6426" width="12.140625" style="3" customWidth="1"/>
    <col min="6427" max="6427" width="15.85546875" style="3" customWidth="1"/>
    <col min="6428" max="6428" width="11.5703125" style="3" customWidth="1"/>
    <col min="6429" max="6429" width="12.28515625" style="3" customWidth="1"/>
    <col min="6430" max="6658" width="11.42578125" style="3"/>
    <col min="6659" max="6659" width="6.7109375" style="3" customWidth="1"/>
    <col min="6660" max="6660" width="8.28515625" style="3" customWidth="1"/>
    <col min="6661" max="6661" width="16.42578125" style="3" customWidth="1"/>
    <col min="6662" max="6662" width="11.42578125" style="3"/>
    <col min="6663" max="6663" width="19" style="3" customWidth="1"/>
    <col min="6664" max="6664" width="15.85546875" style="3" customWidth="1"/>
    <col min="6665" max="6671" width="13.85546875" style="3" customWidth="1"/>
    <col min="6672" max="6672" width="11.28515625" style="3" customWidth="1"/>
    <col min="6673" max="6673" width="10.28515625" style="3" customWidth="1"/>
    <col min="6674" max="6674" width="11.5703125" style="3" customWidth="1"/>
    <col min="6675" max="6675" width="13.85546875" style="3" customWidth="1"/>
    <col min="6676" max="6676" width="15.5703125" style="3" customWidth="1"/>
    <col min="6677" max="6677" width="13" style="3" customWidth="1"/>
    <col min="6678" max="6678" width="12.42578125" style="3" customWidth="1"/>
    <col min="6679" max="6679" width="14.28515625" style="3" customWidth="1"/>
    <col min="6680" max="6681" width="14.140625" style="3" customWidth="1"/>
    <col min="6682" max="6682" width="12.140625" style="3" customWidth="1"/>
    <col min="6683" max="6683" width="15.85546875" style="3" customWidth="1"/>
    <col min="6684" max="6684" width="11.5703125" style="3" customWidth="1"/>
    <col min="6685" max="6685" width="12.28515625" style="3" customWidth="1"/>
    <col min="6686" max="6914" width="11.42578125" style="3"/>
    <col min="6915" max="6915" width="6.7109375" style="3" customWidth="1"/>
    <col min="6916" max="6916" width="8.28515625" style="3" customWidth="1"/>
    <col min="6917" max="6917" width="16.42578125" style="3" customWidth="1"/>
    <col min="6918" max="6918" width="11.42578125" style="3"/>
    <col min="6919" max="6919" width="19" style="3" customWidth="1"/>
    <col min="6920" max="6920" width="15.85546875" style="3" customWidth="1"/>
    <col min="6921" max="6927" width="13.85546875" style="3" customWidth="1"/>
    <col min="6928" max="6928" width="11.28515625" style="3" customWidth="1"/>
    <col min="6929" max="6929" width="10.28515625" style="3" customWidth="1"/>
    <col min="6930" max="6930" width="11.5703125" style="3" customWidth="1"/>
    <col min="6931" max="6931" width="13.85546875" style="3" customWidth="1"/>
    <col min="6932" max="6932" width="15.5703125" style="3" customWidth="1"/>
    <col min="6933" max="6933" width="13" style="3" customWidth="1"/>
    <col min="6934" max="6934" width="12.42578125" style="3" customWidth="1"/>
    <col min="6935" max="6935" width="14.28515625" style="3" customWidth="1"/>
    <col min="6936" max="6937" width="14.140625" style="3" customWidth="1"/>
    <col min="6938" max="6938" width="12.140625" style="3" customWidth="1"/>
    <col min="6939" max="6939" width="15.85546875" style="3" customWidth="1"/>
    <col min="6940" max="6940" width="11.5703125" style="3" customWidth="1"/>
    <col min="6941" max="6941" width="12.28515625" style="3" customWidth="1"/>
    <col min="6942" max="7170" width="11.42578125" style="3"/>
    <col min="7171" max="7171" width="6.7109375" style="3" customWidth="1"/>
    <col min="7172" max="7172" width="8.28515625" style="3" customWidth="1"/>
    <col min="7173" max="7173" width="16.42578125" style="3" customWidth="1"/>
    <col min="7174" max="7174" width="11.42578125" style="3"/>
    <col min="7175" max="7175" width="19" style="3" customWidth="1"/>
    <col min="7176" max="7176" width="15.85546875" style="3" customWidth="1"/>
    <col min="7177" max="7183" width="13.85546875" style="3" customWidth="1"/>
    <col min="7184" max="7184" width="11.28515625" style="3" customWidth="1"/>
    <col min="7185" max="7185" width="10.28515625" style="3" customWidth="1"/>
    <col min="7186" max="7186" width="11.5703125" style="3" customWidth="1"/>
    <col min="7187" max="7187" width="13.85546875" style="3" customWidth="1"/>
    <col min="7188" max="7188" width="15.5703125" style="3" customWidth="1"/>
    <col min="7189" max="7189" width="13" style="3" customWidth="1"/>
    <col min="7190" max="7190" width="12.42578125" style="3" customWidth="1"/>
    <col min="7191" max="7191" width="14.28515625" style="3" customWidth="1"/>
    <col min="7192" max="7193" width="14.140625" style="3" customWidth="1"/>
    <col min="7194" max="7194" width="12.140625" style="3" customWidth="1"/>
    <col min="7195" max="7195" width="15.85546875" style="3" customWidth="1"/>
    <col min="7196" max="7196" width="11.5703125" style="3" customWidth="1"/>
    <col min="7197" max="7197" width="12.28515625" style="3" customWidth="1"/>
    <col min="7198" max="7426" width="11.42578125" style="3"/>
    <col min="7427" max="7427" width="6.7109375" style="3" customWidth="1"/>
    <col min="7428" max="7428" width="8.28515625" style="3" customWidth="1"/>
    <col min="7429" max="7429" width="16.42578125" style="3" customWidth="1"/>
    <col min="7430" max="7430" width="11.42578125" style="3"/>
    <col min="7431" max="7431" width="19" style="3" customWidth="1"/>
    <col min="7432" max="7432" width="15.85546875" style="3" customWidth="1"/>
    <col min="7433" max="7439" width="13.85546875" style="3" customWidth="1"/>
    <col min="7440" max="7440" width="11.28515625" style="3" customWidth="1"/>
    <col min="7441" max="7441" width="10.28515625" style="3" customWidth="1"/>
    <col min="7442" max="7442" width="11.5703125" style="3" customWidth="1"/>
    <col min="7443" max="7443" width="13.85546875" style="3" customWidth="1"/>
    <col min="7444" max="7444" width="15.5703125" style="3" customWidth="1"/>
    <col min="7445" max="7445" width="13" style="3" customWidth="1"/>
    <col min="7446" max="7446" width="12.42578125" style="3" customWidth="1"/>
    <col min="7447" max="7447" width="14.28515625" style="3" customWidth="1"/>
    <col min="7448" max="7449" width="14.140625" style="3" customWidth="1"/>
    <col min="7450" max="7450" width="12.140625" style="3" customWidth="1"/>
    <col min="7451" max="7451" width="15.85546875" style="3" customWidth="1"/>
    <col min="7452" max="7452" width="11.5703125" style="3" customWidth="1"/>
    <col min="7453" max="7453" width="12.28515625" style="3" customWidth="1"/>
    <col min="7454" max="7682" width="11.42578125" style="3"/>
    <col min="7683" max="7683" width="6.7109375" style="3" customWidth="1"/>
    <col min="7684" max="7684" width="8.28515625" style="3" customWidth="1"/>
    <col min="7685" max="7685" width="16.42578125" style="3" customWidth="1"/>
    <col min="7686" max="7686" width="11.42578125" style="3"/>
    <col min="7687" max="7687" width="19" style="3" customWidth="1"/>
    <col min="7688" max="7688" width="15.85546875" style="3" customWidth="1"/>
    <col min="7689" max="7695" width="13.85546875" style="3" customWidth="1"/>
    <col min="7696" max="7696" width="11.28515625" style="3" customWidth="1"/>
    <col min="7697" max="7697" width="10.28515625" style="3" customWidth="1"/>
    <col min="7698" max="7698" width="11.5703125" style="3" customWidth="1"/>
    <col min="7699" max="7699" width="13.85546875" style="3" customWidth="1"/>
    <col min="7700" max="7700" width="15.5703125" style="3" customWidth="1"/>
    <col min="7701" max="7701" width="13" style="3" customWidth="1"/>
    <col min="7702" max="7702" width="12.42578125" style="3" customWidth="1"/>
    <col min="7703" max="7703" width="14.28515625" style="3" customWidth="1"/>
    <col min="7704" max="7705" width="14.140625" style="3" customWidth="1"/>
    <col min="7706" max="7706" width="12.140625" style="3" customWidth="1"/>
    <col min="7707" max="7707" width="15.85546875" style="3" customWidth="1"/>
    <col min="7708" max="7708" width="11.5703125" style="3" customWidth="1"/>
    <col min="7709" max="7709" width="12.28515625" style="3" customWidth="1"/>
    <col min="7710" max="7938" width="11.42578125" style="3"/>
    <col min="7939" max="7939" width="6.7109375" style="3" customWidth="1"/>
    <col min="7940" max="7940" width="8.28515625" style="3" customWidth="1"/>
    <col min="7941" max="7941" width="16.42578125" style="3" customWidth="1"/>
    <col min="7942" max="7942" width="11.42578125" style="3"/>
    <col min="7943" max="7943" width="19" style="3" customWidth="1"/>
    <col min="7944" max="7944" width="15.85546875" style="3" customWidth="1"/>
    <col min="7945" max="7951" width="13.85546875" style="3" customWidth="1"/>
    <col min="7952" max="7952" width="11.28515625" style="3" customWidth="1"/>
    <col min="7953" max="7953" width="10.28515625" style="3" customWidth="1"/>
    <col min="7954" max="7954" width="11.5703125" style="3" customWidth="1"/>
    <col min="7955" max="7955" width="13.85546875" style="3" customWidth="1"/>
    <col min="7956" max="7956" width="15.5703125" style="3" customWidth="1"/>
    <col min="7957" max="7957" width="13" style="3" customWidth="1"/>
    <col min="7958" max="7958" width="12.42578125" style="3" customWidth="1"/>
    <col min="7959" max="7959" width="14.28515625" style="3" customWidth="1"/>
    <col min="7960" max="7961" width="14.140625" style="3" customWidth="1"/>
    <col min="7962" max="7962" width="12.140625" style="3" customWidth="1"/>
    <col min="7963" max="7963" width="15.85546875" style="3" customWidth="1"/>
    <col min="7964" max="7964" width="11.5703125" style="3" customWidth="1"/>
    <col min="7965" max="7965" width="12.28515625" style="3" customWidth="1"/>
    <col min="7966" max="8194" width="11.42578125" style="3"/>
    <col min="8195" max="8195" width="6.7109375" style="3" customWidth="1"/>
    <col min="8196" max="8196" width="8.28515625" style="3" customWidth="1"/>
    <col min="8197" max="8197" width="16.42578125" style="3" customWidth="1"/>
    <col min="8198" max="8198" width="11.42578125" style="3"/>
    <col min="8199" max="8199" width="19" style="3" customWidth="1"/>
    <col min="8200" max="8200" width="15.85546875" style="3" customWidth="1"/>
    <col min="8201" max="8207" width="13.85546875" style="3" customWidth="1"/>
    <col min="8208" max="8208" width="11.28515625" style="3" customWidth="1"/>
    <col min="8209" max="8209" width="10.28515625" style="3" customWidth="1"/>
    <col min="8210" max="8210" width="11.5703125" style="3" customWidth="1"/>
    <col min="8211" max="8211" width="13.85546875" style="3" customWidth="1"/>
    <col min="8212" max="8212" width="15.5703125" style="3" customWidth="1"/>
    <col min="8213" max="8213" width="13" style="3" customWidth="1"/>
    <col min="8214" max="8214" width="12.42578125" style="3" customWidth="1"/>
    <col min="8215" max="8215" width="14.28515625" style="3" customWidth="1"/>
    <col min="8216" max="8217" width="14.140625" style="3" customWidth="1"/>
    <col min="8218" max="8218" width="12.140625" style="3" customWidth="1"/>
    <col min="8219" max="8219" width="15.85546875" style="3" customWidth="1"/>
    <col min="8220" max="8220" width="11.5703125" style="3" customWidth="1"/>
    <col min="8221" max="8221" width="12.28515625" style="3" customWidth="1"/>
    <col min="8222" max="8450" width="11.42578125" style="3"/>
    <col min="8451" max="8451" width="6.7109375" style="3" customWidth="1"/>
    <col min="8452" max="8452" width="8.28515625" style="3" customWidth="1"/>
    <col min="8453" max="8453" width="16.42578125" style="3" customWidth="1"/>
    <col min="8454" max="8454" width="11.42578125" style="3"/>
    <col min="8455" max="8455" width="19" style="3" customWidth="1"/>
    <col min="8456" max="8456" width="15.85546875" style="3" customWidth="1"/>
    <col min="8457" max="8463" width="13.85546875" style="3" customWidth="1"/>
    <col min="8464" max="8464" width="11.28515625" style="3" customWidth="1"/>
    <col min="8465" max="8465" width="10.28515625" style="3" customWidth="1"/>
    <col min="8466" max="8466" width="11.5703125" style="3" customWidth="1"/>
    <col min="8467" max="8467" width="13.85546875" style="3" customWidth="1"/>
    <col min="8468" max="8468" width="15.5703125" style="3" customWidth="1"/>
    <col min="8469" max="8469" width="13" style="3" customWidth="1"/>
    <col min="8470" max="8470" width="12.42578125" style="3" customWidth="1"/>
    <col min="8471" max="8471" width="14.28515625" style="3" customWidth="1"/>
    <col min="8472" max="8473" width="14.140625" style="3" customWidth="1"/>
    <col min="8474" max="8474" width="12.140625" style="3" customWidth="1"/>
    <col min="8475" max="8475" width="15.85546875" style="3" customWidth="1"/>
    <col min="8476" max="8476" width="11.5703125" style="3" customWidth="1"/>
    <col min="8477" max="8477" width="12.28515625" style="3" customWidth="1"/>
    <col min="8478" max="8706" width="11.42578125" style="3"/>
    <col min="8707" max="8707" width="6.7109375" style="3" customWidth="1"/>
    <col min="8708" max="8708" width="8.28515625" style="3" customWidth="1"/>
    <col min="8709" max="8709" width="16.42578125" style="3" customWidth="1"/>
    <col min="8710" max="8710" width="11.42578125" style="3"/>
    <col min="8711" max="8711" width="19" style="3" customWidth="1"/>
    <col min="8712" max="8712" width="15.85546875" style="3" customWidth="1"/>
    <col min="8713" max="8719" width="13.85546875" style="3" customWidth="1"/>
    <col min="8720" max="8720" width="11.28515625" style="3" customWidth="1"/>
    <col min="8721" max="8721" width="10.28515625" style="3" customWidth="1"/>
    <col min="8722" max="8722" width="11.5703125" style="3" customWidth="1"/>
    <col min="8723" max="8723" width="13.85546875" style="3" customWidth="1"/>
    <col min="8724" max="8724" width="15.5703125" style="3" customWidth="1"/>
    <col min="8725" max="8725" width="13" style="3" customWidth="1"/>
    <col min="8726" max="8726" width="12.42578125" style="3" customWidth="1"/>
    <col min="8727" max="8727" width="14.28515625" style="3" customWidth="1"/>
    <col min="8728" max="8729" width="14.140625" style="3" customWidth="1"/>
    <col min="8730" max="8730" width="12.140625" style="3" customWidth="1"/>
    <col min="8731" max="8731" width="15.85546875" style="3" customWidth="1"/>
    <col min="8732" max="8732" width="11.5703125" style="3" customWidth="1"/>
    <col min="8733" max="8733" width="12.28515625" style="3" customWidth="1"/>
    <col min="8734" max="8962" width="11.42578125" style="3"/>
    <col min="8963" max="8963" width="6.7109375" style="3" customWidth="1"/>
    <col min="8964" max="8964" width="8.28515625" style="3" customWidth="1"/>
    <col min="8965" max="8965" width="16.42578125" style="3" customWidth="1"/>
    <col min="8966" max="8966" width="11.42578125" style="3"/>
    <col min="8967" max="8967" width="19" style="3" customWidth="1"/>
    <col min="8968" max="8968" width="15.85546875" style="3" customWidth="1"/>
    <col min="8969" max="8975" width="13.85546875" style="3" customWidth="1"/>
    <col min="8976" max="8976" width="11.28515625" style="3" customWidth="1"/>
    <col min="8977" max="8977" width="10.28515625" style="3" customWidth="1"/>
    <col min="8978" max="8978" width="11.5703125" style="3" customWidth="1"/>
    <col min="8979" max="8979" width="13.85546875" style="3" customWidth="1"/>
    <col min="8980" max="8980" width="15.5703125" style="3" customWidth="1"/>
    <col min="8981" max="8981" width="13" style="3" customWidth="1"/>
    <col min="8982" max="8982" width="12.42578125" style="3" customWidth="1"/>
    <col min="8983" max="8983" width="14.28515625" style="3" customWidth="1"/>
    <col min="8984" max="8985" width="14.140625" style="3" customWidth="1"/>
    <col min="8986" max="8986" width="12.140625" style="3" customWidth="1"/>
    <col min="8987" max="8987" width="15.85546875" style="3" customWidth="1"/>
    <col min="8988" max="8988" width="11.5703125" style="3" customWidth="1"/>
    <col min="8989" max="8989" width="12.28515625" style="3" customWidth="1"/>
    <col min="8990" max="9218" width="11.42578125" style="3"/>
    <col min="9219" max="9219" width="6.7109375" style="3" customWidth="1"/>
    <col min="9220" max="9220" width="8.28515625" style="3" customWidth="1"/>
    <col min="9221" max="9221" width="16.42578125" style="3" customWidth="1"/>
    <col min="9222" max="9222" width="11.42578125" style="3"/>
    <col min="9223" max="9223" width="19" style="3" customWidth="1"/>
    <col min="9224" max="9224" width="15.85546875" style="3" customWidth="1"/>
    <col min="9225" max="9231" width="13.85546875" style="3" customWidth="1"/>
    <col min="9232" max="9232" width="11.28515625" style="3" customWidth="1"/>
    <col min="9233" max="9233" width="10.28515625" style="3" customWidth="1"/>
    <col min="9234" max="9234" width="11.5703125" style="3" customWidth="1"/>
    <col min="9235" max="9235" width="13.85546875" style="3" customWidth="1"/>
    <col min="9236" max="9236" width="15.5703125" style="3" customWidth="1"/>
    <col min="9237" max="9237" width="13" style="3" customWidth="1"/>
    <col min="9238" max="9238" width="12.42578125" style="3" customWidth="1"/>
    <col min="9239" max="9239" width="14.28515625" style="3" customWidth="1"/>
    <col min="9240" max="9241" width="14.140625" style="3" customWidth="1"/>
    <col min="9242" max="9242" width="12.140625" style="3" customWidth="1"/>
    <col min="9243" max="9243" width="15.85546875" style="3" customWidth="1"/>
    <col min="9244" max="9244" width="11.5703125" style="3" customWidth="1"/>
    <col min="9245" max="9245" width="12.28515625" style="3" customWidth="1"/>
    <col min="9246" max="9474" width="11.42578125" style="3"/>
    <col min="9475" max="9475" width="6.7109375" style="3" customWidth="1"/>
    <col min="9476" max="9476" width="8.28515625" style="3" customWidth="1"/>
    <col min="9477" max="9477" width="16.42578125" style="3" customWidth="1"/>
    <col min="9478" max="9478" width="11.42578125" style="3"/>
    <col min="9479" max="9479" width="19" style="3" customWidth="1"/>
    <col min="9480" max="9480" width="15.85546875" style="3" customWidth="1"/>
    <col min="9481" max="9487" width="13.85546875" style="3" customWidth="1"/>
    <col min="9488" max="9488" width="11.28515625" style="3" customWidth="1"/>
    <col min="9489" max="9489" width="10.28515625" style="3" customWidth="1"/>
    <col min="9490" max="9490" width="11.5703125" style="3" customWidth="1"/>
    <col min="9491" max="9491" width="13.85546875" style="3" customWidth="1"/>
    <col min="9492" max="9492" width="15.5703125" style="3" customWidth="1"/>
    <col min="9493" max="9493" width="13" style="3" customWidth="1"/>
    <col min="9494" max="9494" width="12.42578125" style="3" customWidth="1"/>
    <col min="9495" max="9495" width="14.28515625" style="3" customWidth="1"/>
    <col min="9496" max="9497" width="14.140625" style="3" customWidth="1"/>
    <col min="9498" max="9498" width="12.140625" style="3" customWidth="1"/>
    <col min="9499" max="9499" width="15.85546875" style="3" customWidth="1"/>
    <col min="9500" max="9500" width="11.5703125" style="3" customWidth="1"/>
    <col min="9501" max="9501" width="12.28515625" style="3" customWidth="1"/>
    <col min="9502" max="9730" width="11.42578125" style="3"/>
    <col min="9731" max="9731" width="6.7109375" style="3" customWidth="1"/>
    <col min="9732" max="9732" width="8.28515625" style="3" customWidth="1"/>
    <col min="9733" max="9733" width="16.42578125" style="3" customWidth="1"/>
    <col min="9734" max="9734" width="11.42578125" style="3"/>
    <col min="9735" max="9735" width="19" style="3" customWidth="1"/>
    <col min="9736" max="9736" width="15.85546875" style="3" customWidth="1"/>
    <col min="9737" max="9743" width="13.85546875" style="3" customWidth="1"/>
    <col min="9744" max="9744" width="11.28515625" style="3" customWidth="1"/>
    <col min="9745" max="9745" width="10.28515625" style="3" customWidth="1"/>
    <col min="9746" max="9746" width="11.5703125" style="3" customWidth="1"/>
    <col min="9747" max="9747" width="13.85546875" style="3" customWidth="1"/>
    <col min="9748" max="9748" width="15.5703125" style="3" customWidth="1"/>
    <col min="9749" max="9749" width="13" style="3" customWidth="1"/>
    <col min="9750" max="9750" width="12.42578125" style="3" customWidth="1"/>
    <col min="9751" max="9751" width="14.28515625" style="3" customWidth="1"/>
    <col min="9752" max="9753" width="14.140625" style="3" customWidth="1"/>
    <col min="9754" max="9754" width="12.140625" style="3" customWidth="1"/>
    <col min="9755" max="9755" width="15.85546875" style="3" customWidth="1"/>
    <col min="9756" max="9756" width="11.5703125" style="3" customWidth="1"/>
    <col min="9757" max="9757" width="12.28515625" style="3" customWidth="1"/>
    <col min="9758" max="9986" width="11.42578125" style="3"/>
    <col min="9987" max="9987" width="6.7109375" style="3" customWidth="1"/>
    <col min="9988" max="9988" width="8.28515625" style="3" customWidth="1"/>
    <col min="9989" max="9989" width="16.42578125" style="3" customWidth="1"/>
    <col min="9990" max="9990" width="11.42578125" style="3"/>
    <col min="9991" max="9991" width="19" style="3" customWidth="1"/>
    <col min="9992" max="9992" width="15.85546875" style="3" customWidth="1"/>
    <col min="9993" max="9999" width="13.85546875" style="3" customWidth="1"/>
    <col min="10000" max="10000" width="11.28515625" style="3" customWidth="1"/>
    <col min="10001" max="10001" width="10.28515625" style="3" customWidth="1"/>
    <col min="10002" max="10002" width="11.5703125" style="3" customWidth="1"/>
    <col min="10003" max="10003" width="13.85546875" style="3" customWidth="1"/>
    <col min="10004" max="10004" width="15.5703125" style="3" customWidth="1"/>
    <col min="10005" max="10005" width="13" style="3" customWidth="1"/>
    <col min="10006" max="10006" width="12.42578125" style="3" customWidth="1"/>
    <col min="10007" max="10007" width="14.28515625" style="3" customWidth="1"/>
    <col min="10008" max="10009" width="14.140625" style="3" customWidth="1"/>
    <col min="10010" max="10010" width="12.140625" style="3" customWidth="1"/>
    <col min="10011" max="10011" width="15.85546875" style="3" customWidth="1"/>
    <col min="10012" max="10012" width="11.5703125" style="3" customWidth="1"/>
    <col min="10013" max="10013" width="12.28515625" style="3" customWidth="1"/>
    <col min="10014" max="10242" width="11.42578125" style="3"/>
    <col min="10243" max="10243" width="6.7109375" style="3" customWidth="1"/>
    <col min="10244" max="10244" width="8.28515625" style="3" customWidth="1"/>
    <col min="10245" max="10245" width="16.42578125" style="3" customWidth="1"/>
    <col min="10246" max="10246" width="11.42578125" style="3"/>
    <col min="10247" max="10247" width="19" style="3" customWidth="1"/>
    <col min="10248" max="10248" width="15.85546875" style="3" customWidth="1"/>
    <col min="10249" max="10255" width="13.85546875" style="3" customWidth="1"/>
    <col min="10256" max="10256" width="11.28515625" style="3" customWidth="1"/>
    <col min="10257" max="10257" width="10.28515625" style="3" customWidth="1"/>
    <col min="10258" max="10258" width="11.5703125" style="3" customWidth="1"/>
    <col min="10259" max="10259" width="13.85546875" style="3" customWidth="1"/>
    <col min="10260" max="10260" width="15.5703125" style="3" customWidth="1"/>
    <col min="10261" max="10261" width="13" style="3" customWidth="1"/>
    <col min="10262" max="10262" width="12.42578125" style="3" customWidth="1"/>
    <col min="10263" max="10263" width="14.28515625" style="3" customWidth="1"/>
    <col min="10264" max="10265" width="14.140625" style="3" customWidth="1"/>
    <col min="10266" max="10266" width="12.140625" style="3" customWidth="1"/>
    <col min="10267" max="10267" width="15.85546875" style="3" customWidth="1"/>
    <col min="10268" max="10268" width="11.5703125" style="3" customWidth="1"/>
    <col min="10269" max="10269" width="12.28515625" style="3" customWidth="1"/>
    <col min="10270" max="10498" width="11.42578125" style="3"/>
    <col min="10499" max="10499" width="6.7109375" style="3" customWidth="1"/>
    <col min="10500" max="10500" width="8.28515625" style="3" customWidth="1"/>
    <col min="10501" max="10501" width="16.42578125" style="3" customWidth="1"/>
    <col min="10502" max="10502" width="11.42578125" style="3"/>
    <col min="10503" max="10503" width="19" style="3" customWidth="1"/>
    <col min="10504" max="10504" width="15.85546875" style="3" customWidth="1"/>
    <col min="10505" max="10511" width="13.85546875" style="3" customWidth="1"/>
    <col min="10512" max="10512" width="11.28515625" style="3" customWidth="1"/>
    <col min="10513" max="10513" width="10.28515625" style="3" customWidth="1"/>
    <col min="10514" max="10514" width="11.5703125" style="3" customWidth="1"/>
    <col min="10515" max="10515" width="13.85546875" style="3" customWidth="1"/>
    <col min="10516" max="10516" width="15.5703125" style="3" customWidth="1"/>
    <col min="10517" max="10517" width="13" style="3" customWidth="1"/>
    <col min="10518" max="10518" width="12.42578125" style="3" customWidth="1"/>
    <col min="10519" max="10519" width="14.28515625" style="3" customWidth="1"/>
    <col min="10520" max="10521" width="14.140625" style="3" customWidth="1"/>
    <col min="10522" max="10522" width="12.140625" style="3" customWidth="1"/>
    <col min="10523" max="10523" width="15.85546875" style="3" customWidth="1"/>
    <col min="10524" max="10524" width="11.5703125" style="3" customWidth="1"/>
    <col min="10525" max="10525" width="12.28515625" style="3" customWidth="1"/>
    <col min="10526" max="10754" width="11.42578125" style="3"/>
    <col min="10755" max="10755" width="6.7109375" style="3" customWidth="1"/>
    <col min="10756" max="10756" width="8.28515625" style="3" customWidth="1"/>
    <col min="10757" max="10757" width="16.42578125" style="3" customWidth="1"/>
    <col min="10758" max="10758" width="11.42578125" style="3"/>
    <col min="10759" max="10759" width="19" style="3" customWidth="1"/>
    <col min="10760" max="10760" width="15.85546875" style="3" customWidth="1"/>
    <col min="10761" max="10767" width="13.85546875" style="3" customWidth="1"/>
    <col min="10768" max="10768" width="11.28515625" style="3" customWidth="1"/>
    <col min="10769" max="10769" width="10.28515625" style="3" customWidth="1"/>
    <col min="10770" max="10770" width="11.5703125" style="3" customWidth="1"/>
    <col min="10771" max="10771" width="13.85546875" style="3" customWidth="1"/>
    <col min="10772" max="10772" width="15.5703125" style="3" customWidth="1"/>
    <col min="10773" max="10773" width="13" style="3" customWidth="1"/>
    <col min="10774" max="10774" width="12.42578125" style="3" customWidth="1"/>
    <col min="10775" max="10775" width="14.28515625" style="3" customWidth="1"/>
    <col min="10776" max="10777" width="14.140625" style="3" customWidth="1"/>
    <col min="10778" max="10778" width="12.140625" style="3" customWidth="1"/>
    <col min="10779" max="10779" width="15.85546875" style="3" customWidth="1"/>
    <col min="10780" max="10780" width="11.5703125" style="3" customWidth="1"/>
    <col min="10781" max="10781" width="12.28515625" style="3" customWidth="1"/>
    <col min="10782" max="11010" width="11.42578125" style="3"/>
    <col min="11011" max="11011" width="6.7109375" style="3" customWidth="1"/>
    <col min="11012" max="11012" width="8.28515625" style="3" customWidth="1"/>
    <col min="11013" max="11013" width="16.42578125" style="3" customWidth="1"/>
    <col min="11014" max="11014" width="11.42578125" style="3"/>
    <col min="11015" max="11015" width="19" style="3" customWidth="1"/>
    <col min="11016" max="11016" width="15.85546875" style="3" customWidth="1"/>
    <col min="11017" max="11023" width="13.85546875" style="3" customWidth="1"/>
    <col min="11024" max="11024" width="11.28515625" style="3" customWidth="1"/>
    <col min="11025" max="11025" width="10.28515625" style="3" customWidth="1"/>
    <col min="11026" max="11026" width="11.5703125" style="3" customWidth="1"/>
    <col min="11027" max="11027" width="13.85546875" style="3" customWidth="1"/>
    <col min="11028" max="11028" width="15.5703125" style="3" customWidth="1"/>
    <col min="11029" max="11029" width="13" style="3" customWidth="1"/>
    <col min="11030" max="11030" width="12.42578125" style="3" customWidth="1"/>
    <col min="11031" max="11031" width="14.28515625" style="3" customWidth="1"/>
    <col min="11032" max="11033" width="14.140625" style="3" customWidth="1"/>
    <col min="11034" max="11034" width="12.140625" style="3" customWidth="1"/>
    <col min="11035" max="11035" width="15.85546875" style="3" customWidth="1"/>
    <col min="11036" max="11036" width="11.5703125" style="3" customWidth="1"/>
    <col min="11037" max="11037" width="12.28515625" style="3" customWidth="1"/>
    <col min="11038" max="11266" width="11.42578125" style="3"/>
    <col min="11267" max="11267" width="6.7109375" style="3" customWidth="1"/>
    <col min="11268" max="11268" width="8.28515625" style="3" customWidth="1"/>
    <col min="11269" max="11269" width="16.42578125" style="3" customWidth="1"/>
    <col min="11270" max="11270" width="11.42578125" style="3"/>
    <col min="11271" max="11271" width="19" style="3" customWidth="1"/>
    <col min="11272" max="11272" width="15.85546875" style="3" customWidth="1"/>
    <col min="11273" max="11279" width="13.85546875" style="3" customWidth="1"/>
    <col min="11280" max="11280" width="11.28515625" style="3" customWidth="1"/>
    <col min="11281" max="11281" width="10.28515625" style="3" customWidth="1"/>
    <col min="11282" max="11282" width="11.5703125" style="3" customWidth="1"/>
    <col min="11283" max="11283" width="13.85546875" style="3" customWidth="1"/>
    <col min="11284" max="11284" width="15.5703125" style="3" customWidth="1"/>
    <col min="11285" max="11285" width="13" style="3" customWidth="1"/>
    <col min="11286" max="11286" width="12.42578125" style="3" customWidth="1"/>
    <col min="11287" max="11287" width="14.28515625" style="3" customWidth="1"/>
    <col min="11288" max="11289" width="14.140625" style="3" customWidth="1"/>
    <col min="11290" max="11290" width="12.140625" style="3" customWidth="1"/>
    <col min="11291" max="11291" width="15.85546875" style="3" customWidth="1"/>
    <col min="11292" max="11292" width="11.5703125" style="3" customWidth="1"/>
    <col min="11293" max="11293" width="12.28515625" style="3" customWidth="1"/>
    <col min="11294" max="11522" width="11.42578125" style="3"/>
    <col min="11523" max="11523" width="6.7109375" style="3" customWidth="1"/>
    <col min="11524" max="11524" width="8.28515625" style="3" customWidth="1"/>
    <col min="11525" max="11525" width="16.42578125" style="3" customWidth="1"/>
    <col min="11526" max="11526" width="11.42578125" style="3"/>
    <col min="11527" max="11527" width="19" style="3" customWidth="1"/>
    <col min="11528" max="11528" width="15.85546875" style="3" customWidth="1"/>
    <col min="11529" max="11535" width="13.85546875" style="3" customWidth="1"/>
    <col min="11536" max="11536" width="11.28515625" style="3" customWidth="1"/>
    <col min="11537" max="11537" width="10.28515625" style="3" customWidth="1"/>
    <col min="11538" max="11538" width="11.5703125" style="3" customWidth="1"/>
    <col min="11539" max="11539" width="13.85546875" style="3" customWidth="1"/>
    <col min="11540" max="11540" width="15.5703125" style="3" customWidth="1"/>
    <col min="11541" max="11541" width="13" style="3" customWidth="1"/>
    <col min="11542" max="11542" width="12.42578125" style="3" customWidth="1"/>
    <col min="11543" max="11543" width="14.28515625" style="3" customWidth="1"/>
    <col min="11544" max="11545" width="14.140625" style="3" customWidth="1"/>
    <col min="11546" max="11546" width="12.140625" style="3" customWidth="1"/>
    <col min="11547" max="11547" width="15.85546875" style="3" customWidth="1"/>
    <col min="11548" max="11548" width="11.5703125" style="3" customWidth="1"/>
    <col min="11549" max="11549" width="12.28515625" style="3" customWidth="1"/>
    <col min="11550" max="11778" width="11.42578125" style="3"/>
    <col min="11779" max="11779" width="6.7109375" style="3" customWidth="1"/>
    <col min="11780" max="11780" width="8.28515625" style="3" customWidth="1"/>
    <col min="11781" max="11781" width="16.42578125" style="3" customWidth="1"/>
    <col min="11782" max="11782" width="11.42578125" style="3"/>
    <col min="11783" max="11783" width="19" style="3" customWidth="1"/>
    <col min="11784" max="11784" width="15.85546875" style="3" customWidth="1"/>
    <col min="11785" max="11791" width="13.85546875" style="3" customWidth="1"/>
    <col min="11792" max="11792" width="11.28515625" style="3" customWidth="1"/>
    <col min="11793" max="11793" width="10.28515625" style="3" customWidth="1"/>
    <col min="11794" max="11794" width="11.5703125" style="3" customWidth="1"/>
    <col min="11795" max="11795" width="13.85546875" style="3" customWidth="1"/>
    <col min="11796" max="11796" width="15.5703125" style="3" customWidth="1"/>
    <col min="11797" max="11797" width="13" style="3" customWidth="1"/>
    <col min="11798" max="11798" width="12.42578125" style="3" customWidth="1"/>
    <col min="11799" max="11799" width="14.28515625" style="3" customWidth="1"/>
    <col min="11800" max="11801" width="14.140625" style="3" customWidth="1"/>
    <col min="11802" max="11802" width="12.140625" style="3" customWidth="1"/>
    <col min="11803" max="11803" width="15.85546875" style="3" customWidth="1"/>
    <col min="11804" max="11804" width="11.5703125" style="3" customWidth="1"/>
    <col min="11805" max="11805" width="12.28515625" style="3" customWidth="1"/>
    <col min="11806" max="12034" width="11.42578125" style="3"/>
    <col min="12035" max="12035" width="6.7109375" style="3" customWidth="1"/>
    <col min="12036" max="12036" width="8.28515625" style="3" customWidth="1"/>
    <col min="12037" max="12037" width="16.42578125" style="3" customWidth="1"/>
    <col min="12038" max="12038" width="11.42578125" style="3"/>
    <col min="12039" max="12039" width="19" style="3" customWidth="1"/>
    <col min="12040" max="12040" width="15.85546875" style="3" customWidth="1"/>
    <col min="12041" max="12047" width="13.85546875" style="3" customWidth="1"/>
    <col min="12048" max="12048" width="11.28515625" style="3" customWidth="1"/>
    <col min="12049" max="12049" width="10.28515625" style="3" customWidth="1"/>
    <col min="12050" max="12050" width="11.5703125" style="3" customWidth="1"/>
    <col min="12051" max="12051" width="13.85546875" style="3" customWidth="1"/>
    <col min="12052" max="12052" width="15.5703125" style="3" customWidth="1"/>
    <col min="12053" max="12053" width="13" style="3" customWidth="1"/>
    <col min="12054" max="12054" width="12.42578125" style="3" customWidth="1"/>
    <col min="12055" max="12055" width="14.28515625" style="3" customWidth="1"/>
    <col min="12056" max="12057" width="14.140625" style="3" customWidth="1"/>
    <col min="12058" max="12058" width="12.140625" style="3" customWidth="1"/>
    <col min="12059" max="12059" width="15.85546875" style="3" customWidth="1"/>
    <col min="12060" max="12060" width="11.5703125" style="3" customWidth="1"/>
    <col min="12061" max="12061" width="12.28515625" style="3" customWidth="1"/>
    <col min="12062" max="12290" width="11.42578125" style="3"/>
    <col min="12291" max="12291" width="6.7109375" style="3" customWidth="1"/>
    <col min="12292" max="12292" width="8.28515625" style="3" customWidth="1"/>
    <col min="12293" max="12293" width="16.42578125" style="3" customWidth="1"/>
    <col min="12294" max="12294" width="11.42578125" style="3"/>
    <col min="12295" max="12295" width="19" style="3" customWidth="1"/>
    <col min="12296" max="12296" width="15.85546875" style="3" customWidth="1"/>
    <col min="12297" max="12303" width="13.85546875" style="3" customWidth="1"/>
    <col min="12304" max="12304" width="11.28515625" style="3" customWidth="1"/>
    <col min="12305" max="12305" width="10.28515625" style="3" customWidth="1"/>
    <col min="12306" max="12306" width="11.5703125" style="3" customWidth="1"/>
    <col min="12307" max="12307" width="13.85546875" style="3" customWidth="1"/>
    <col min="12308" max="12308" width="15.5703125" style="3" customWidth="1"/>
    <col min="12309" max="12309" width="13" style="3" customWidth="1"/>
    <col min="12310" max="12310" width="12.42578125" style="3" customWidth="1"/>
    <col min="12311" max="12311" width="14.28515625" style="3" customWidth="1"/>
    <col min="12312" max="12313" width="14.140625" style="3" customWidth="1"/>
    <col min="12314" max="12314" width="12.140625" style="3" customWidth="1"/>
    <col min="12315" max="12315" width="15.85546875" style="3" customWidth="1"/>
    <col min="12316" max="12316" width="11.5703125" style="3" customWidth="1"/>
    <col min="12317" max="12317" width="12.28515625" style="3" customWidth="1"/>
    <col min="12318" max="12546" width="11.42578125" style="3"/>
    <col min="12547" max="12547" width="6.7109375" style="3" customWidth="1"/>
    <col min="12548" max="12548" width="8.28515625" style="3" customWidth="1"/>
    <col min="12549" max="12549" width="16.42578125" style="3" customWidth="1"/>
    <col min="12550" max="12550" width="11.42578125" style="3"/>
    <col min="12551" max="12551" width="19" style="3" customWidth="1"/>
    <col min="12552" max="12552" width="15.85546875" style="3" customWidth="1"/>
    <col min="12553" max="12559" width="13.85546875" style="3" customWidth="1"/>
    <col min="12560" max="12560" width="11.28515625" style="3" customWidth="1"/>
    <col min="12561" max="12561" width="10.28515625" style="3" customWidth="1"/>
    <col min="12562" max="12562" width="11.5703125" style="3" customWidth="1"/>
    <col min="12563" max="12563" width="13.85546875" style="3" customWidth="1"/>
    <col min="12564" max="12564" width="15.5703125" style="3" customWidth="1"/>
    <col min="12565" max="12565" width="13" style="3" customWidth="1"/>
    <col min="12566" max="12566" width="12.42578125" style="3" customWidth="1"/>
    <col min="12567" max="12567" width="14.28515625" style="3" customWidth="1"/>
    <col min="12568" max="12569" width="14.140625" style="3" customWidth="1"/>
    <col min="12570" max="12570" width="12.140625" style="3" customWidth="1"/>
    <col min="12571" max="12571" width="15.85546875" style="3" customWidth="1"/>
    <col min="12572" max="12572" width="11.5703125" style="3" customWidth="1"/>
    <col min="12573" max="12573" width="12.28515625" style="3" customWidth="1"/>
    <col min="12574" max="12802" width="11.42578125" style="3"/>
    <col min="12803" max="12803" width="6.7109375" style="3" customWidth="1"/>
    <col min="12804" max="12804" width="8.28515625" style="3" customWidth="1"/>
    <col min="12805" max="12805" width="16.42578125" style="3" customWidth="1"/>
    <col min="12806" max="12806" width="11.42578125" style="3"/>
    <col min="12807" max="12807" width="19" style="3" customWidth="1"/>
    <col min="12808" max="12808" width="15.85546875" style="3" customWidth="1"/>
    <col min="12809" max="12815" width="13.85546875" style="3" customWidth="1"/>
    <col min="12816" max="12816" width="11.28515625" style="3" customWidth="1"/>
    <col min="12817" max="12817" width="10.28515625" style="3" customWidth="1"/>
    <col min="12818" max="12818" width="11.5703125" style="3" customWidth="1"/>
    <col min="12819" max="12819" width="13.85546875" style="3" customWidth="1"/>
    <col min="12820" max="12820" width="15.5703125" style="3" customWidth="1"/>
    <col min="12821" max="12821" width="13" style="3" customWidth="1"/>
    <col min="12822" max="12822" width="12.42578125" style="3" customWidth="1"/>
    <col min="12823" max="12823" width="14.28515625" style="3" customWidth="1"/>
    <col min="12824" max="12825" width="14.140625" style="3" customWidth="1"/>
    <col min="12826" max="12826" width="12.140625" style="3" customWidth="1"/>
    <col min="12827" max="12827" width="15.85546875" style="3" customWidth="1"/>
    <col min="12828" max="12828" width="11.5703125" style="3" customWidth="1"/>
    <col min="12829" max="12829" width="12.28515625" style="3" customWidth="1"/>
    <col min="12830" max="13058" width="11.42578125" style="3"/>
    <col min="13059" max="13059" width="6.7109375" style="3" customWidth="1"/>
    <col min="13060" max="13060" width="8.28515625" style="3" customWidth="1"/>
    <col min="13061" max="13061" width="16.42578125" style="3" customWidth="1"/>
    <col min="13062" max="13062" width="11.42578125" style="3"/>
    <col min="13063" max="13063" width="19" style="3" customWidth="1"/>
    <col min="13064" max="13064" width="15.85546875" style="3" customWidth="1"/>
    <col min="13065" max="13071" width="13.85546875" style="3" customWidth="1"/>
    <col min="13072" max="13072" width="11.28515625" style="3" customWidth="1"/>
    <col min="13073" max="13073" width="10.28515625" style="3" customWidth="1"/>
    <col min="13074" max="13074" width="11.5703125" style="3" customWidth="1"/>
    <col min="13075" max="13075" width="13.85546875" style="3" customWidth="1"/>
    <col min="13076" max="13076" width="15.5703125" style="3" customWidth="1"/>
    <col min="13077" max="13077" width="13" style="3" customWidth="1"/>
    <col min="13078" max="13078" width="12.42578125" style="3" customWidth="1"/>
    <col min="13079" max="13079" width="14.28515625" style="3" customWidth="1"/>
    <col min="13080" max="13081" width="14.140625" style="3" customWidth="1"/>
    <col min="13082" max="13082" width="12.140625" style="3" customWidth="1"/>
    <col min="13083" max="13083" width="15.85546875" style="3" customWidth="1"/>
    <col min="13084" max="13084" width="11.5703125" style="3" customWidth="1"/>
    <col min="13085" max="13085" width="12.28515625" style="3" customWidth="1"/>
    <col min="13086" max="13314" width="11.42578125" style="3"/>
    <col min="13315" max="13315" width="6.7109375" style="3" customWidth="1"/>
    <col min="13316" max="13316" width="8.28515625" style="3" customWidth="1"/>
    <col min="13317" max="13317" width="16.42578125" style="3" customWidth="1"/>
    <col min="13318" max="13318" width="11.42578125" style="3"/>
    <col min="13319" max="13319" width="19" style="3" customWidth="1"/>
    <col min="13320" max="13320" width="15.85546875" style="3" customWidth="1"/>
    <col min="13321" max="13327" width="13.85546875" style="3" customWidth="1"/>
    <col min="13328" max="13328" width="11.28515625" style="3" customWidth="1"/>
    <col min="13329" max="13329" width="10.28515625" style="3" customWidth="1"/>
    <col min="13330" max="13330" width="11.5703125" style="3" customWidth="1"/>
    <col min="13331" max="13331" width="13.85546875" style="3" customWidth="1"/>
    <col min="13332" max="13332" width="15.5703125" style="3" customWidth="1"/>
    <col min="13333" max="13333" width="13" style="3" customWidth="1"/>
    <col min="13334" max="13334" width="12.42578125" style="3" customWidth="1"/>
    <col min="13335" max="13335" width="14.28515625" style="3" customWidth="1"/>
    <col min="13336" max="13337" width="14.140625" style="3" customWidth="1"/>
    <col min="13338" max="13338" width="12.140625" style="3" customWidth="1"/>
    <col min="13339" max="13339" width="15.85546875" style="3" customWidth="1"/>
    <col min="13340" max="13340" width="11.5703125" style="3" customWidth="1"/>
    <col min="13341" max="13341" width="12.28515625" style="3" customWidth="1"/>
    <col min="13342" max="13570" width="11.42578125" style="3"/>
    <col min="13571" max="13571" width="6.7109375" style="3" customWidth="1"/>
    <col min="13572" max="13572" width="8.28515625" style="3" customWidth="1"/>
    <col min="13573" max="13573" width="16.42578125" style="3" customWidth="1"/>
    <col min="13574" max="13574" width="11.42578125" style="3"/>
    <col min="13575" max="13575" width="19" style="3" customWidth="1"/>
    <col min="13576" max="13576" width="15.85546875" style="3" customWidth="1"/>
    <col min="13577" max="13583" width="13.85546875" style="3" customWidth="1"/>
    <col min="13584" max="13584" width="11.28515625" style="3" customWidth="1"/>
    <col min="13585" max="13585" width="10.28515625" style="3" customWidth="1"/>
    <col min="13586" max="13586" width="11.5703125" style="3" customWidth="1"/>
    <col min="13587" max="13587" width="13.85546875" style="3" customWidth="1"/>
    <col min="13588" max="13588" width="15.5703125" style="3" customWidth="1"/>
    <col min="13589" max="13589" width="13" style="3" customWidth="1"/>
    <col min="13590" max="13590" width="12.42578125" style="3" customWidth="1"/>
    <col min="13591" max="13591" width="14.28515625" style="3" customWidth="1"/>
    <col min="13592" max="13593" width="14.140625" style="3" customWidth="1"/>
    <col min="13594" max="13594" width="12.140625" style="3" customWidth="1"/>
    <col min="13595" max="13595" width="15.85546875" style="3" customWidth="1"/>
    <col min="13596" max="13596" width="11.5703125" style="3" customWidth="1"/>
    <col min="13597" max="13597" width="12.28515625" style="3" customWidth="1"/>
    <col min="13598" max="13826" width="11.42578125" style="3"/>
    <col min="13827" max="13827" width="6.7109375" style="3" customWidth="1"/>
    <col min="13828" max="13828" width="8.28515625" style="3" customWidth="1"/>
    <col min="13829" max="13829" width="16.42578125" style="3" customWidth="1"/>
    <col min="13830" max="13830" width="11.42578125" style="3"/>
    <col min="13831" max="13831" width="19" style="3" customWidth="1"/>
    <col min="13832" max="13832" width="15.85546875" style="3" customWidth="1"/>
    <col min="13833" max="13839" width="13.85546875" style="3" customWidth="1"/>
    <col min="13840" max="13840" width="11.28515625" style="3" customWidth="1"/>
    <col min="13841" max="13841" width="10.28515625" style="3" customWidth="1"/>
    <col min="13842" max="13842" width="11.5703125" style="3" customWidth="1"/>
    <col min="13843" max="13843" width="13.85546875" style="3" customWidth="1"/>
    <col min="13844" max="13844" width="15.5703125" style="3" customWidth="1"/>
    <col min="13845" max="13845" width="13" style="3" customWidth="1"/>
    <col min="13846" max="13846" width="12.42578125" style="3" customWidth="1"/>
    <col min="13847" max="13847" width="14.28515625" style="3" customWidth="1"/>
    <col min="13848" max="13849" width="14.140625" style="3" customWidth="1"/>
    <col min="13850" max="13850" width="12.140625" style="3" customWidth="1"/>
    <col min="13851" max="13851" width="15.85546875" style="3" customWidth="1"/>
    <col min="13852" max="13852" width="11.5703125" style="3" customWidth="1"/>
    <col min="13853" max="13853" width="12.28515625" style="3" customWidth="1"/>
    <col min="13854" max="14082" width="11.42578125" style="3"/>
    <col min="14083" max="14083" width="6.7109375" style="3" customWidth="1"/>
    <col min="14084" max="14084" width="8.28515625" style="3" customWidth="1"/>
    <col min="14085" max="14085" width="16.42578125" style="3" customWidth="1"/>
    <col min="14086" max="14086" width="11.42578125" style="3"/>
    <col min="14087" max="14087" width="19" style="3" customWidth="1"/>
    <col min="14088" max="14088" width="15.85546875" style="3" customWidth="1"/>
    <col min="14089" max="14095" width="13.85546875" style="3" customWidth="1"/>
    <col min="14096" max="14096" width="11.28515625" style="3" customWidth="1"/>
    <col min="14097" max="14097" width="10.28515625" style="3" customWidth="1"/>
    <col min="14098" max="14098" width="11.5703125" style="3" customWidth="1"/>
    <col min="14099" max="14099" width="13.85546875" style="3" customWidth="1"/>
    <col min="14100" max="14100" width="15.5703125" style="3" customWidth="1"/>
    <col min="14101" max="14101" width="13" style="3" customWidth="1"/>
    <col min="14102" max="14102" width="12.42578125" style="3" customWidth="1"/>
    <col min="14103" max="14103" width="14.28515625" style="3" customWidth="1"/>
    <col min="14104" max="14105" width="14.140625" style="3" customWidth="1"/>
    <col min="14106" max="14106" width="12.140625" style="3" customWidth="1"/>
    <col min="14107" max="14107" width="15.85546875" style="3" customWidth="1"/>
    <col min="14108" max="14108" width="11.5703125" style="3" customWidth="1"/>
    <col min="14109" max="14109" width="12.28515625" style="3" customWidth="1"/>
    <col min="14110" max="14338" width="11.42578125" style="3"/>
    <col min="14339" max="14339" width="6.7109375" style="3" customWidth="1"/>
    <col min="14340" max="14340" width="8.28515625" style="3" customWidth="1"/>
    <col min="14341" max="14341" width="16.42578125" style="3" customWidth="1"/>
    <col min="14342" max="14342" width="11.42578125" style="3"/>
    <col min="14343" max="14343" width="19" style="3" customWidth="1"/>
    <col min="14344" max="14344" width="15.85546875" style="3" customWidth="1"/>
    <col min="14345" max="14351" width="13.85546875" style="3" customWidth="1"/>
    <col min="14352" max="14352" width="11.28515625" style="3" customWidth="1"/>
    <col min="14353" max="14353" width="10.28515625" style="3" customWidth="1"/>
    <col min="14354" max="14354" width="11.5703125" style="3" customWidth="1"/>
    <col min="14355" max="14355" width="13.85546875" style="3" customWidth="1"/>
    <col min="14356" max="14356" width="15.5703125" style="3" customWidth="1"/>
    <col min="14357" max="14357" width="13" style="3" customWidth="1"/>
    <col min="14358" max="14358" width="12.42578125" style="3" customWidth="1"/>
    <col min="14359" max="14359" width="14.28515625" style="3" customWidth="1"/>
    <col min="14360" max="14361" width="14.140625" style="3" customWidth="1"/>
    <col min="14362" max="14362" width="12.140625" style="3" customWidth="1"/>
    <col min="14363" max="14363" width="15.85546875" style="3" customWidth="1"/>
    <col min="14364" max="14364" width="11.5703125" style="3" customWidth="1"/>
    <col min="14365" max="14365" width="12.28515625" style="3" customWidth="1"/>
    <col min="14366" max="14594" width="11.42578125" style="3"/>
    <col min="14595" max="14595" width="6.7109375" style="3" customWidth="1"/>
    <col min="14596" max="14596" width="8.28515625" style="3" customWidth="1"/>
    <col min="14597" max="14597" width="16.42578125" style="3" customWidth="1"/>
    <col min="14598" max="14598" width="11.42578125" style="3"/>
    <col min="14599" max="14599" width="19" style="3" customWidth="1"/>
    <col min="14600" max="14600" width="15.85546875" style="3" customWidth="1"/>
    <col min="14601" max="14607" width="13.85546875" style="3" customWidth="1"/>
    <col min="14608" max="14608" width="11.28515625" style="3" customWidth="1"/>
    <col min="14609" max="14609" width="10.28515625" style="3" customWidth="1"/>
    <col min="14610" max="14610" width="11.5703125" style="3" customWidth="1"/>
    <col min="14611" max="14611" width="13.85546875" style="3" customWidth="1"/>
    <col min="14612" max="14612" width="15.5703125" style="3" customWidth="1"/>
    <col min="14613" max="14613" width="13" style="3" customWidth="1"/>
    <col min="14614" max="14614" width="12.42578125" style="3" customWidth="1"/>
    <col min="14615" max="14615" width="14.28515625" style="3" customWidth="1"/>
    <col min="14616" max="14617" width="14.140625" style="3" customWidth="1"/>
    <col min="14618" max="14618" width="12.140625" style="3" customWidth="1"/>
    <col min="14619" max="14619" width="15.85546875" style="3" customWidth="1"/>
    <col min="14620" max="14620" width="11.5703125" style="3" customWidth="1"/>
    <col min="14621" max="14621" width="12.28515625" style="3" customWidth="1"/>
    <col min="14622" max="14850" width="11.42578125" style="3"/>
    <col min="14851" max="14851" width="6.7109375" style="3" customWidth="1"/>
    <col min="14852" max="14852" width="8.28515625" style="3" customWidth="1"/>
    <col min="14853" max="14853" width="16.42578125" style="3" customWidth="1"/>
    <col min="14854" max="14854" width="11.42578125" style="3"/>
    <col min="14855" max="14855" width="19" style="3" customWidth="1"/>
    <col min="14856" max="14856" width="15.85546875" style="3" customWidth="1"/>
    <col min="14857" max="14863" width="13.85546875" style="3" customWidth="1"/>
    <col min="14864" max="14864" width="11.28515625" style="3" customWidth="1"/>
    <col min="14865" max="14865" width="10.28515625" style="3" customWidth="1"/>
    <col min="14866" max="14866" width="11.5703125" style="3" customWidth="1"/>
    <col min="14867" max="14867" width="13.85546875" style="3" customWidth="1"/>
    <col min="14868" max="14868" width="15.5703125" style="3" customWidth="1"/>
    <col min="14869" max="14869" width="13" style="3" customWidth="1"/>
    <col min="14870" max="14870" width="12.42578125" style="3" customWidth="1"/>
    <col min="14871" max="14871" width="14.28515625" style="3" customWidth="1"/>
    <col min="14872" max="14873" width="14.140625" style="3" customWidth="1"/>
    <col min="14874" max="14874" width="12.140625" style="3" customWidth="1"/>
    <col min="14875" max="14875" width="15.85546875" style="3" customWidth="1"/>
    <col min="14876" max="14876" width="11.5703125" style="3" customWidth="1"/>
    <col min="14877" max="14877" width="12.28515625" style="3" customWidth="1"/>
    <col min="14878" max="15106" width="11.42578125" style="3"/>
    <col min="15107" max="15107" width="6.7109375" style="3" customWidth="1"/>
    <col min="15108" max="15108" width="8.28515625" style="3" customWidth="1"/>
    <col min="15109" max="15109" width="16.42578125" style="3" customWidth="1"/>
    <col min="15110" max="15110" width="11.42578125" style="3"/>
    <col min="15111" max="15111" width="19" style="3" customWidth="1"/>
    <col min="15112" max="15112" width="15.85546875" style="3" customWidth="1"/>
    <col min="15113" max="15119" width="13.85546875" style="3" customWidth="1"/>
    <col min="15120" max="15120" width="11.28515625" style="3" customWidth="1"/>
    <col min="15121" max="15121" width="10.28515625" style="3" customWidth="1"/>
    <col min="15122" max="15122" width="11.5703125" style="3" customWidth="1"/>
    <col min="15123" max="15123" width="13.85546875" style="3" customWidth="1"/>
    <col min="15124" max="15124" width="15.5703125" style="3" customWidth="1"/>
    <col min="15125" max="15125" width="13" style="3" customWidth="1"/>
    <col min="15126" max="15126" width="12.42578125" style="3" customWidth="1"/>
    <col min="15127" max="15127" width="14.28515625" style="3" customWidth="1"/>
    <col min="15128" max="15129" width="14.140625" style="3" customWidth="1"/>
    <col min="15130" max="15130" width="12.140625" style="3" customWidth="1"/>
    <col min="15131" max="15131" width="15.85546875" style="3" customWidth="1"/>
    <col min="15132" max="15132" width="11.5703125" style="3" customWidth="1"/>
    <col min="15133" max="15133" width="12.28515625" style="3" customWidth="1"/>
    <col min="15134" max="15362" width="11.42578125" style="3"/>
    <col min="15363" max="15363" width="6.7109375" style="3" customWidth="1"/>
    <col min="15364" max="15364" width="8.28515625" style="3" customWidth="1"/>
    <col min="15365" max="15365" width="16.42578125" style="3" customWidth="1"/>
    <col min="15366" max="15366" width="11.42578125" style="3"/>
    <col min="15367" max="15367" width="19" style="3" customWidth="1"/>
    <col min="15368" max="15368" width="15.85546875" style="3" customWidth="1"/>
    <col min="15369" max="15375" width="13.85546875" style="3" customWidth="1"/>
    <col min="15376" max="15376" width="11.28515625" style="3" customWidth="1"/>
    <col min="15377" max="15377" width="10.28515625" style="3" customWidth="1"/>
    <col min="15378" max="15378" width="11.5703125" style="3" customWidth="1"/>
    <col min="15379" max="15379" width="13.85546875" style="3" customWidth="1"/>
    <col min="15380" max="15380" width="15.5703125" style="3" customWidth="1"/>
    <col min="15381" max="15381" width="13" style="3" customWidth="1"/>
    <col min="15382" max="15382" width="12.42578125" style="3" customWidth="1"/>
    <col min="15383" max="15383" width="14.28515625" style="3" customWidth="1"/>
    <col min="15384" max="15385" width="14.140625" style="3" customWidth="1"/>
    <col min="15386" max="15386" width="12.140625" style="3" customWidth="1"/>
    <col min="15387" max="15387" width="15.85546875" style="3" customWidth="1"/>
    <col min="15388" max="15388" width="11.5703125" style="3" customWidth="1"/>
    <col min="15389" max="15389" width="12.28515625" style="3" customWidth="1"/>
    <col min="15390" max="15618" width="11.42578125" style="3"/>
    <col min="15619" max="15619" width="6.7109375" style="3" customWidth="1"/>
    <col min="15620" max="15620" width="8.28515625" style="3" customWidth="1"/>
    <col min="15621" max="15621" width="16.42578125" style="3" customWidth="1"/>
    <col min="15622" max="15622" width="11.42578125" style="3"/>
    <col min="15623" max="15623" width="19" style="3" customWidth="1"/>
    <col min="15624" max="15624" width="15.85546875" style="3" customWidth="1"/>
    <col min="15625" max="15631" width="13.85546875" style="3" customWidth="1"/>
    <col min="15632" max="15632" width="11.28515625" style="3" customWidth="1"/>
    <col min="15633" max="15633" width="10.28515625" style="3" customWidth="1"/>
    <col min="15634" max="15634" width="11.5703125" style="3" customWidth="1"/>
    <col min="15635" max="15635" width="13.85546875" style="3" customWidth="1"/>
    <col min="15636" max="15636" width="15.5703125" style="3" customWidth="1"/>
    <col min="15637" max="15637" width="13" style="3" customWidth="1"/>
    <col min="15638" max="15638" width="12.42578125" style="3" customWidth="1"/>
    <col min="15639" max="15639" width="14.28515625" style="3" customWidth="1"/>
    <col min="15640" max="15641" width="14.140625" style="3" customWidth="1"/>
    <col min="15642" max="15642" width="12.140625" style="3" customWidth="1"/>
    <col min="15643" max="15643" width="15.85546875" style="3" customWidth="1"/>
    <col min="15644" max="15644" width="11.5703125" style="3" customWidth="1"/>
    <col min="15645" max="15645" width="12.28515625" style="3" customWidth="1"/>
    <col min="15646" max="15874" width="11.42578125" style="3"/>
    <col min="15875" max="15875" width="6.7109375" style="3" customWidth="1"/>
    <col min="15876" max="15876" width="8.28515625" style="3" customWidth="1"/>
    <col min="15877" max="15877" width="16.42578125" style="3" customWidth="1"/>
    <col min="15878" max="15878" width="11.42578125" style="3"/>
    <col min="15879" max="15879" width="19" style="3" customWidth="1"/>
    <col min="15880" max="15880" width="15.85546875" style="3" customWidth="1"/>
    <col min="15881" max="15887" width="13.85546875" style="3" customWidth="1"/>
    <col min="15888" max="15888" width="11.28515625" style="3" customWidth="1"/>
    <col min="15889" max="15889" width="10.28515625" style="3" customWidth="1"/>
    <col min="15890" max="15890" width="11.5703125" style="3" customWidth="1"/>
    <col min="15891" max="15891" width="13.85546875" style="3" customWidth="1"/>
    <col min="15892" max="15892" width="15.5703125" style="3" customWidth="1"/>
    <col min="15893" max="15893" width="13" style="3" customWidth="1"/>
    <col min="15894" max="15894" width="12.42578125" style="3" customWidth="1"/>
    <col min="15895" max="15895" width="14.28515625" style="3" customWidth="1"/>
    <col min="15896" max="15897" width="14.140625" style="3" customWidth="1"/>
    <col min="15898" max="15898" width="12.140625" style="3" customWidth="1"/>
    <col min="15899" max="15899" width="15.85546875" style="3" customWidth="1"/>
    <col min="15900" max="15900" width="11.5703125" style="3" customWidth="1"/>
    <col min="15901" max="15901" width="12.28515625" style="3" customWidth="1"/>
    <col min="15902" max="16130" width="11.42578125" style="3"/>
    <col min="16131" max="16131" width="6.7109375" style="3" customWidth="1"/>
    <col min="16132" max="16132" width="8.28515625" style="3" customWidth="1"/>
    <col min="16133" max="16133" width="16.42578125" style="3" customWidth="1"/>
    <col min="16134" max="16134" width="11.42578125" style="3"/>
    <col min="16135" max="16135" width="19" style="3" customWidth="1"/>
    <col min="16136" max="16136" width="15.85546875" style="3" customWidth="1"/>
    <col min="16137" max="16143" width="13.85546875" style="3" customWidth="1"/>
    <col min="16144" max="16144" width="11.28515625" style="3" customWidth="1"/>
    <col min="16145" max="16145" width="10.28515625" style="3" customWidth="1"/>
    <col min="16146" max="16146" width="11.5703125" style="3" customWidth="1"/>
    <col min="16147" max="16147" width="13.85546875" style="3" customWidth="1"/>
    <col min="16148" max="16148" width="15.5703125" style="3" customWidth="1"/>
    <col min="16149" max="16149" width="13" style="3" customWidth="1"/>
    <col min="16150" max="16150" width="12.42578125" style="3" customWidth="1"/>
    <col min="16151" max="16151" width="14.28515625" style="3" customWidth="1"/>
    <col min="16152" max="16153" width="14.140625" style="3" customWidth="1"/>
    <col min="16154" max="16154" width="12.140625" style="3" customWidth="1"/>
    <col min="16155" max="16155" width="15.85546875" style="3" customWidth="1"/>
    <col min="16156" max="16156" width="11.5703125" style="3" customWidth="1"/>
    <col min="16157" max="16157" width="12.28515625" style="3" customWidth="1"/>
    <col min="16158" max="16384" width="11.42578125" style="3"/>
  </cols>
  <sheetData>
    <row r="1" spans="1:29" ht="15.75" thickBot="1" x14ac:dyDescent="0.3">
      <c r="H1" s="331" t="s">
        <v>836</v>
      </c>
      <c r="I1" s="332"/>
      <c r="J1" s="332"/>
      <c r="K1" s="332"/>
      <c r="L1" s="332"/>
      <c r="M1" s="332"/>
      <c r="N1" s="332"/>
      <c r="O1" s="332"/>
      <c r="P1" s="332"/>
      <c r="Q1" s="332"/>
      <c r="R1" s="333"/>
      <c r="S1" s="321"/>
      <c r="T1" s="334" t="s">
        <v>839</v>
      </c>
      <c r="U1" s="335"/>
      <c r="V1" s="335"/>
      <c r="W1" s="335"/>
      <c r="X1" s="335"/>
      <c r="Y1" s="335"/>
      <c r="Z1" s="335"/>
      <c r="AA1" s="335"/>
      <c r="AB1" s="335"/>
      <c r="AC1" s="335"/>
    </row>
    <row r="2" spans="1:29" ht="26.25" thickBot="1" x14ac:dyDescent="0.3">
      <c r="A2" s="9" t="s">
        <v>742</v>
      </c>
      <c r="B2" s="10" t="s">
        <v>743</v>
      </c>
      <c r="C2" s="11" t="s">
        <v>744</v>
      </c>
      <c r="D2" s="11" t="s">
        <v>745</v>
      </c>
      <c r="E2" s="11" t="s">
        <v>746</v>
      </c>
      <c r="F2" s="12" t="s">
        <v>747</v>
      </c>
      <c r="G2" s="13" t="s">
        <v>5</v>
      </c>
      <c r="H2" s="65" t="s">
        <v>35</v>
      </c>
      <c r="I2" s="66" t="s">
        <v>105</v>
      </c>
      <c r="J2" s="67" t="s">
        <v>729</v>
      </c>
      <c r="K2" s="67" t="s">
        <v>15</v>
      </c>
      <c r="L2" s="67" t="s">
        <v>727</v>
      </c>
      <c r="M2" s="67" t="s">
        <v>728</v>
      </c>
      <c r="N2" s="67" t="s">
        <v>840</v>
      </c>
      <c r="O2" s="67" t="s">
        <v>748</v>
      </c>
      <c r="P2" s="68" t="s">
        <v>749</v>
      </c>
      <c r="Q2" s="66" t="s">
        <v>750</v>
      </c>
      <c r="R2" s="220" t="s">
        <v>1147</v>
      </c>
      <c r="S2" s="322" t="s">
        <v>1146</v>
      </c>
      <c r="T2" s="221" t="s">
        <v>35</v>
      </c>
      <c r="U2" s="14" t="s">
        <v>105</v>
      </c>
      <c r="V2" s="15" t="s">
        <v>729</v>
      </c>
      <c r="W2" s="15" t="s">
        <v>15</v>
      </c>
      <c r="X2" s="15" t="s">
        <v>727</v>
      </c>
      <c r="Y2" s="15" t="s">
        <v>728</v>
      </c>
      <c r="Z2" s="15" t="s">
        <v>838</v>
      </c>
      <c r="AA2" s="15" t="s">
        <v>752</v>
      </c>
      <c r="AB2" s="16" t="s">
        <v>753</v>
      </c>
      <c r="AC2" s="215" t="s">
        <v>751</v>
      </c>
    </row>
    <row r="3" spans="1:29" s="52" customFormat="1" x14ac:dyDescent="0.25">
      <c r="A3" s="42">
        <v>1</v>
      </c>
      <c r="B3" s="43">
        <v>30001</v>
      </c>
      <c r="C3" s="44" t="s">
        <v>451</v>
      </c>
      <c r="D3" s="45" t="s">
        <v>754</v>
      </c>
      <c r="E3" s="46"/>
      <c r="F3" s="47">
        <f>27907973.5063476/10000</f>
        <v>2790.7973506347598</v>
      </c>
      <c r="G3" s="48" t="s">
        <v>11</v>
      </c>
      <c r="H3" s="49">
        <v>0</v>
      </c>
      <c r="I3" s="49">
        <v>0</v>
      </c>
      <c r="J3" s="49">
        <v>0</v>
      </c>
      <c r="K3" s="302">
        <f>ZoneInondable2022!G306</f>
        <v>26.168406000000001</v>
      </c>
      <c r="L3" s="302">
        <f>ZoneInondable2022!G546</f>
        <v>37.797153000000002</v>
      </c>
      <c r="M3" s="302">
        <f>ZoneInondable2022!G684</f>
        <v>22.928229999999999</v>
      </c>
      <c r="N3" s="49"/>
      <c r="O3" s="49"/>
      <c r="P3" s="49"/>
      <c r="Q3" s="49">
        <f>SUM(H3:P3)</f>
        <v>86.893788999999998</v>
      </c>
      <c r="R3" s="219">
        <f t="shared" ref="R3:R66" si="0">Q3/F3</f>
        <v>3.113582897025333E-2</v>
      </c>
      <c r="S3" s="323">
        <v>3.1859105921745672E-2</v>
      </c>
      <c r="T3" s="50">
        <v>0</v>
      </c>
      <c r="U3" s="50">
        <v>0</v>
      </c>
      <c r="V3" s="51">
        <v>0</v>
      </c>
      <c r="W3" s="51">
        <v>28.409629999999996</v>
      </c>
      <c r="X3" s="51">
        <v>37.778443800000005</v>
      </c>
      <c r="Y3" s="51">
        <v>22.724234599999999</v>
      </c>
      <c r="Z3" s="51"/>
      <c r="AA3" s="51"/>
      <c r="AB3" s="51">
        <f>SUM(T3+U3+V3+W3+X3+Y3+Z3+AA3)</f>
        <v>88.912308400000001</v>
      </c>
      <c r="AC3" s="216">
        <f t="shared" ref="AC3:AC66" si="1">AB3/F3</f>
        <v>3.1859105921745672E-2</v>
      </c>
    </row>
    <row r="4" spans="1:29" s="54" customFormat="1" x14ac:dyDescent="0.25">
      <c r="A4" s="56">
        <v>2</v>
      </c>
      <c r="B4" s="57">
        <v>30002</v>
      </c>
      <c r="C4" s="58" t="s">
        <v>512</v>
      </c>
      <c r="D4" s="59" t="s">
        <v>755</v>
      </c>
      <c r="E4" s="69"/>
      <c r="F4" s="61">
        <f>12571747.8740234/10000</f>
        <v>1257.1747874023399</v>
      </c>
      <c r="G4" s="48" t="s">
        <v>11</v>
      </c>
      <c r="H4" s="49">
        <v>0</v>
      </c>
      <c r="I4" s="49">
        <v>0</v>
      </c>
      <c r="J4" s="49">
        <v>0</v>
      </c>
      <c r="K4" s="302">
        <f>ZoneInondable2022!G383</f>
        <v>61.639781999999997</v>
      </c>
      <c r="L4" s="302">
        <f>ZoneInondable2022!G617</f>
        <v>0.38099562999999997</v>
      </c>
      <c r="M4" s="302">
        <f>ZoneInondable2022!G797</f>
        <v>140.36528000000001</v>
      </c>
      <c r="N4" s="49"/>
      <c r="O4" s="49"/>
      <c r="P4" s="49"/>
      <c r="Q4" s="49">
        <f t="shared" ref="Q4:Q67" si="2">SUM(H4:P4)</f>
        <v>202.38605763000001</v>
      </c>
      <c r="R4" s="55">
        <f t="shared" si="0"/>
        <v>0.16098482061367445</v>
      </c>
      <c r="S4" s="324">
        <v>0.16493011291549792</v>
      </c>
      <c r="T4" s="62">
        <v>0</v>
      </c>
      <c r="U4" s="63">
        <v>0</v>
      </c>
      <c r="V4" s="64">
        <v>0</v>
      </c>
      <c r="W4" s="64">
        <v>66.455713064999998</v>
      </c>
      <c r="X4" s="64">
        <v>0.38167456405900002</v>
      </c>
      <c r="Y4" s="64">
        <v>140.50859201172599</v>
      </c>
      <c r="Z4" s="64"/>
      <c r="AA4" s="64"/>
      <c r="AB4" s="51">
        <f t="shared" ref="AB4:AB67" si="3">SUM(T4+U4+V4+W4+X4+Y4+Z4+AA4)</f>
        <v>207.345979640785</v>
      </c>
      <c r="AC4" s="216">
        <f t="shared" si="1"/>
        <v>0.16493011291549792</v>
      </c>
    </row>
    <row r="5" spans="1:29" s="81" customFormat="1" x14ac:dyDescent="0.25">
      <c r="A5" s="70">
        <v>3</v>
      </c>
      <c r="B5" s="71">
        <v>30003</v>
      </c>
      <c r="C5" s="72" t="s">
        <v>413</v>
      </c>
      <c r="D5" s="73" t="s">
        <v>756</v>
      </c>
      <c r="E5" s="69" t="s">
        <v>757</v>
      </c>
      <c r="F5" s="74">
        <f>57771919.2221679/10000</f>
        <v>5777.1919222167899</v>
      </c>
      <c r="G5" s="75" t="s">
        <v>786</v>
      </c>
      <c r="H5" s="76">
        <v>0</v>
      </c>
      <c r="I5" s="76">
        <v>0</v>
      </c>
      <c r="J5" s="76">
        <v>0</v>
      </c>
      <c r="K5" s="302">
        <f>ZoneInondable2022!G280</f>
        <v>5341.7860000000001</v>
      </c>
      <c r="L5" s="302">
        <f>ZoneInondable2022!G261</f>
        <v>272.18572999999998</v>
      </c>
      <c r="M5" s="302">
        <f>ZoneInondable2022!G317</f>
        <v>139.74382</v>
      </c>
      <c r="N5" s="76"/>
      <c r="O5" s="76"/>
      <c r="P5" s="76"/>
      <c r="Q5" s="76">
        <f t="shared" si="2"/>
        <v>5753.7155499999999</v>
      </c>
      <c r="R5" s="77">
        <f t="shared" si="0"/>
        <v>0.99593636968740662</v>
      </c>
      <c r="S5" s="324">
        <v>0.99302931444429765</v>
      </c>
      <c r="T5" s="78">
        <v>0</v>
      </c>
      <c r="U5" s="79">
        <v>0</v>
      </c>
      <c r="V5" s="80">
        <v>0</v>
      </c>
      <c r="W5" s="80">
        <v>5327.4680142605603</v>
      </c>
      <c r="X5" s="80">
        <v>271.33808646858802</v>
      </c>
      <c r="Y5" s="80">
        <v>138.11483320292498</v>
      </c>
      <c r="Z5" s="80"/>
      <c r="AA5" s="80"/>
      <c r="AB5" s="51">
        <f t="shared" si="3"/>
        <v>5736.9209339320732</v>
      </c>
      <c r="AC5" s="216">
        <f t="shared" si="1"/>
        <v>0.99302931444429765</v>
      </c>
    </row>
    <row r="6" spans="1:29" s="81" customFormat="1" x14ac:dyDescent="0.25">
      <c r="A6" s="70">
        <v>4</v>
      </c>
      <c r="B6" s="71">
        <v>30004</v>
      </c>
      <c r="C6" s="72" t="s">
        <v>8</v>
      </c>
      <c r="D6" s="84" t="s">
        <v>758</v>
      </c>
      <c r="E6" s="69" t="s">
        <v>759</v>
      </c>
      <c r="F6" s="74">
        <f>12041272.0332031/10000</f>
        <v>1204.1272033203102</v>
      </c>
      <c r="G6" s="75" t="s">
        <v>11</v>
      </c>
      <c r="H6" s="76">
        <v>0</v>
      </c>
      <c r="I6" s="76">
        <v>0</v>
      </c>
      <c r="J6" s="76">
        <v>0</v>
      </c>
      <c r="K6" s="302">
        <f>ZoneInondable2022!G428</f>
        <v>209.56524999999999</v>
      </c>
      <c r="L6" s="302">
        <f>ZoneInondable2022!G373</f>
        <v>177.91130000000001</v>
      </c>
      <c r="M6" s="302">
        <f>ZoneInondable2022!G2</f>
        <v>78.156525000000002</v>
      </c>
      <c r="N6" s="76"/>
      <c r="O6" s="76"/>
      <c r="P6" s="76"/>
      <c r="Q6" s="76">
        <f t="shared" si="2"/>
        <v>465.63307499999996</v>
      </c>
      <c r="R6" s="77">
        <f t="shared" si="0"/>
        <v>0.3866975795547547</v>
      </c>
      <c r="S6" s="324">
        <v>0.3946610066524559</v>
      </c>
      <c r="T6" s="78">
        <v>0</v>
      </c>
      <c r="U6" s="79">
        <v>0</v>
      </c>
      <c r="V6" s="80">
        <v>0</v>
      </c>
      <c r="W6" s="80">
        <v>217.07929060000001</v>
      </c>
      <c r="X6" s="80">
        <v>179.79787290000002</v>
      </c>
      <c r="Y6" s="80">
        <v>76.4213041</v>
      </c>
      <c r="Z6" s="80">
        <v>1.9235866000000001</v>
      </c>
      <c r="AA6" s="80"/>
      <c r="AB6" s="51">
        <f t="shared" si="3"/>
        <v>475.22205420000006</v>
      </c>
      <c r="AC6" s="216">
        <f t="shared" si="1"/>
        <v>0.3946610066524559</v>
      </c>
    </row>
    <row r="7" spans="1:29" s="28" customFormat="1" x14ac:dyDescent="0.25">
      <c r="A7" s="17">
        <v>5</v>
      </c>
      <c r="B7" s="18">
        <v>30005</v>
      </c>
      <c r="C7" s="19" t="s">
        <v>556</v>
      </c>
      <c r="D7" s="20" t="s">
        <v>760</v>
      </c>
      <c r="E7" s="21"/>
      <c r="F7" s="22">
        <f>20044733.2348632/10000</f>
        <v>2004.4733234863199</v>
      </c>
      <c r="G7" s="23" t="s">
        <v>761</v>
      </c>
      <c r="H7" s="302">
        <f>ZoneInondable2022!G473</f>
        <v>118.456856</v>
      </c>
      <c r="I7" s="302">
        <f>ZoneInondable2022!G561</f>
        <v>9.4301560000000002</v>
      </c>
      <c r="J7" s="24">
        <f>V7/10000</f>
        <v>0</v>
      </c>
      <c r="K7" s="24">
        <f>W7/10000</f>
        <v>0</v>
      </c>
      <c r="L7" s="24">
        <f>X7/10000</f>
        <v>0</v>
      </c>
      <c r="M7" s="24">
        <f>Y7/10000</f>
        <v>0</v>
      </c>
      <c r="N7" s="24"/>
      <c r="O7" s="24"/>
      <c r="P7" s="24"/>
      <c r="Q7" s="24">
        <f t="shared" si="2"/>
        <v>127.887012</v>
      </c>
      <c r="R7" s="85">
        <f t="shared" si="0"/>
        <v>6.3800805179871384E-2</v>
      </c>
      <c r="S7" s="324">
        <v>5.9604223228708578E-2</v>
      </c>
      <c r="T7" s="25">
        <v>110.04491927799999</v>
      </c>
      <c r="U7" s="26">
        <v>9.4301561510700012</v>
      </c>
      <c r="V7" s="27">
        <v>0</v>
      </c>
      <c r="W7" s="27">
        <v>0</v>
      </c>
      <c r="X7" s="27">
        <v>0</v>
      </c>
      <c r="Y7" s="27">
        <v>0</v>
      </c>
      <c r="Z7" s="27"/>
      <c r="AA7" s="27"/>
      <c r="AB7" s="160">
        <f t="shared" si="3"/>
        <v>119.47507542906999</v>
      </c>
      <c r="AC7" s="216">
        <f t="shared" si="1"/>
        <v>5.9604223228708578E-2</v>
      </c>
    </row>
    <row r="8" spans="1:29" s="81" customFormat="1" x14ac:dyDescent="0.25">
      <c r="A8" s="70">
        <v>6</v>
      </c>
      <c r="B8" s="71">
        <v>30006</v>
      </c>
      <c r="C8" s="72" t="s">
        <v>762</v>
      </c>
      <c r="D8" s="84" t="s">
        <v>755</v>
      </c>
      <c r="E8" s="69" t="s">
        <v>763</v>
      </c>
      <c r="F8" s="74">
        <f>26463568.2490234/10000</f>
        <v>2646.3568249023401</v>
      </c>
      <c r="G8" s="75" t="s">
        <v>11</v>
      </c>
      <c r="H8" s="76">
        <v>0</v>
      </c>
      <c r="I8" s="76">
        <v>0</v>
      </c>
      <c r="J8" s="76">
        <f>V8/10000</f>
        <v>0</v>
      </c>
      <c r="K8" s="302">
        <f>ZoneInondable2022!G635</f>
        <v>2004.9337</v>
      </c>
      <c r="L8" s="302">
        <f>ZoneInondable2022!G129</f>
        <v>356.61900000000003</v>
      </c>
      <c r="M8" s="302">
        <f>ZoneInondable2022!G107</f>
        <v>273.54894999999999</v>
      </c>
      <c r="N8" s="76"/>
      <c r="O8" s="76"/>
      <c r="P8" s="76"/>
      <c r="Q8" s="76">
        <f t="shared" si="2"/>
        <v>2635.1016500000001</v>
      </c>
      <c r="R8" s="77">
        <f t="shared" si="0"/>
        <v>0.9957469171215203</v>
      </c>
      <c r="S8" s="324">
        <v>0.99918310589033277</v>
      </c>
      <c r="T8" s="78">
        <v>0</v>
      </c>
      <c r="U8" s="79">
        <v>0</v>
      </c>
      <c r="V8" s="80">
        <v>0</v>
      </c>
      <c r="W8" s="80">
        <v>2011.9152469999999</v>
      </c>
      <c r="X8" s="80">
        <v>357.61126789999997</v>
      </c>
      <c r="Y8" s="80">
        <v>274.6685167</v>
      </c>
      <c r="Z8" s="80"/>
      <c r="AA8" s="80"/>
      <c r="AB8" s="51">
        <f t="shared" si="3"/>
        <v>2644.1950315999998</v>
      </c>
      <c r="AC8" s="216">
        <f t="shared" si="1"/>
        <v>0.99918310589033277</v>
      </c>
    </row>
    <row r="9" spans="1:29" s="81" customFormat="1" x14ac:dyDescent="0.25">
      <c r="A9" s="70">
        <v>7</v>
      </c>
      <c r="B9" s="71">
        <v>30007</v>
      </c>
      <c r="C9" s="72" t="s">
        <v>453</v>
      </c>
      <c r="D9" s="84" t="s">
        <v>754</v>
      </c>
      <c r="E9" s="69"/>
      <c r="F9" s="74">
        <f>23275160.8125/10000</f>
        <v>2327.5160812499998</v>
      </c>
      <c r="G9" s="75" t="s">
        <v>11</v>
      </c>
      <c r="H9" s="76">
        <v>0</v>
      </c>
      <c r="I9" s="76">
        <v>0</v>
      </c>
      <c r="J9" s="76">
        <f>V9/10000</f>
        <v>0</v>
      </c>
      <c r="K9" s="303">
        <f>ZoneInondable2022!G642</f>
        <v>351.24326000000002</v>
      </c>
      <c r="L9" s="303">
        <f>ZoneInondable2022!G517</f>
        <v>114.31471000000001</v>
      </c>
      <c r="M9" s="303">
        <f>ZoneInondable2022!G309</f>
        <v>236.04721000000001</v>
      </c>
      <c r="N9" s="80"/>
      <c r="O9" s="80"/>
      <c r="P9" s="76"/>
      <c r="Q9" s="76">
        <f t="shared" si="2"/>
        <v>701.60518000000002</v>
      </c>
      <c r="R9" s="77">
        <f t="shared" si="0"/>
        <v>0.30143945541428901</v>
      </c>
      <c r="S9" s="324">
        <v>0.30039159528205217</v>
      </c>
      <c r="T9" s="78">
        <v>0</v>
      </c>
      <c r="U9" s="79">
        <v>0</v>
      </c>
      <c r="V9" s="80">
        <v>0</v>
      </c>
      <c r="W9" s="80">
        <v>347.93646348409499</v>
      </c>
      <c r="X9" s="80">
        <v>114.31588242822301</v>
      </c>
      <c r="Y9" s="80">
        <v>236.91392277899999</v>
      </c>
      <c r="Z9" s="80"/>
      <c r="AA9" s="80"/>
      <c r="AB9" s="51">
        <f t="shared" si="3"/>
        <v>699.16626869131801</v>
      </c>
      <c r="AC9" s="216">
        <f t="shared" si="1"/>
        <v>0.30039159528205217</v>
      </c>
    </row>
    <row r="10" spans="1:29" s="81" customFormat="1" x14ac:dyDescent="0.25">
      <c r="A10" s="70">
        <v>8</v>
      </c>
      <c r="B10" s="71">
        <v>30008</v>
      </c>
      <c r="C10" s="72" t="s">
        <v>764</v>
      </c>
      <c r="D10" s="84" t="s">
        <v>765</v>
      </c>
      <c r="E10" s="69"/>
      <c r="F10" s="74">
        <f>25153795.5092773/10000</f>
        <v>2515.3795509277297</v>
      </c>
      <c r="G10" s="75" t="s">
        <v>11</v>
      </c>
      <c r="H10" s="76">
        <v>0</v>
      </c>
      <c r="I10" s="76">
        <v>0</v>
      </c>
      <c r="J10" s="76">
        <f>V10/10000</f>
        <v>0</v>
      </c>
      <c r="K10" s="302">
        <f>ZoneInondable2022!G504</f>
        <v>290.58114999999998</v>
      </c>
      <c r="L10" s="302">
        <f>ZoneInondable2022!G11</f>
        <v>36.900635000000001</v>
      </c>
      <c r="M10" s="302">
        <f>ZoneInondable2022!G19</f>
        <v>59.577599999999997</v>
      </c>
      <c r="N10" s="76"/>
      <c r="O10" s="76"/>
      <c r="P10" s="76"/>
      <c r="Q10" s="76">
        <f t="shared" si="2"/>
        <v>387.05938500000002</v>
      </c>
      <c r="R10" s="77">
        <f t="shared" si="0"/>
        <v>0.15387712953985161</v>
      </c>
      <c r="S10" s="324">
        <v>0.15487046892241269</v>
      </c>
      <c r="T10" s="78">
        <v>0</v>
      </c>
      <c r="U10" s="79">
        <v>0</v>
      </c>
      <c r="V10" s="80">
        <v>0</v>
      </c>
      <c r="W10" s="80">
        <v>292.73716036738705</v>
      </c>
      <c r="X10" s="80">
        <v>37.0410931671383</v>
      </c>
      <c r="Y10" s="80">
        <v>59.779757035499998</v>
      </c>
      <c r="Z10" s="80"/>
      <c r="AA10" s="80"/>
      <c r="AB10" s="51">
        <f t="shared" si="3"/>
        <v>389.55801057002532</v>
      </c>
      <c r="AC10" s="216">
        <f t="shared" si="1"/>
        <v>0.15487046892241269</v>
      </c>
    </row>
    <row r="11" spans="1:29" s="28" customFormat="1" x14ac:dyDescent="0.25">
      <c r="A11" s="17">
        <v>9</v>
      </c>
      <c r="B11" s="18">
        <v>30009</v>
      </c>
      <c r="C11" s="19" t="s">
        <v>431</v>
      </c>
      <c r="D11" s="20" t="s">
        <v>766</v>
      </c>
      <c r="E11" s="21"/>
      <c r="F11" s="22">
        <f>27889414.8989257/10000</f>
        <v>2788.9414898925697</v>
      </c>
      <c r="G11" s="23" t="s">
        <v>761</v>
      </c>
      <c r="H11" s="302">
        <f>ZoneInondable2022!G277</f>
        <v>62.820120000000003</v>
      </c>
      <c r="I11" s="24">
        <v>0</v>
      </c>
      <c r="J11" s="24">
        <f>V11/10000</f>
        <v>0</v>
      </c>
      <c r="K11" s="24">
        <f>W11/10000</f>
        <v>0</v>
      </c>
      <c r="L11" s="24">
        <f>X11/10000</f>
        <v>0</v>
      </c>
      <c r="M11" s="24">
        <f>Y11/10000</f>
        <v>0</v>
      </c>
      <c r="N11" s="24"/>
      <c r="O11" s="24"/>
      <c r="P11" s="24"/>
      <c r="Q11" s="24">
        <f t="shared" si="2"/>
        <v>62.820120000000003</v>
      </c>
      <c r="R11" s="85">
        <f t="shared" si="0"/>
        <v>2.2524717792634597E-2</v>
      </c>
      <c r="S11" s="324">
        <v>2.2333570229040301E-2</v>
      </c>
      <c r="T11" s="25">
        <v>62.287020629200001</v>
      </c>
      <c r="U11" s="26">
        <v>0</v>
      </c>
      <c r="V11" s="27">
        <v>0</v>
      </c>
      <c r="W11" s="27">
        <v>0</v>
      </c>
      <c r="X11" s="27">
        <v>0</v>
      </c>
      <c r="Y11" s="27">
        <v>0</v>
      </c>
      <c r="Z11" s="27"/>
      <c r="AA11" s="27"/>
      <c r="AB11" s="160">
        <f t="shared" si="3"/>
        <v>62.287020629200001</v>
      </c>
      <c r="AC11" s="216">
        <f t="shared" si="1"/>
        <v>2.2333570229040301E-2</v>
      </c>
    </row>
    <row r="12" spans="1:29" s="81" customFormat="1" x14ac:dyDescent="0.25">
      <c r="A12" s="70">
        <v>10</v>
      </c>
      <c r="B12" s="71">
        <v>30010</v>
      </c>
      <c r="C12" s="72" t="s">
        <v>125</v>
      </c>
      <c r="D12" s="84" t="s">
        <v>754</v>
      </c>
      <c r="E12" s="69"/>
      <c r="F12" s="74">
        <f>14623619.1748046/10000</f>
        <v>1462.3619174804601</v>
      </c>
      <c r="G12" s="75" t="s">
        <v>11</v>
      </c>
      <c r="H12" s="76">
        <v>0</v>
      </c>
      <c r="I12" s="76">
        <v>0</v>
      </c>
      <c r="J12" s="76">
        <f>V12/10000</f>
        <v>0</v>
      </c>
      <c r="K12" s="302">
        <f>ZoneInondable2022!G144</f>
        <v>168.34637000000001</v>
      </c>
      <c r="L12" s="302">
        <f>ZoneInondable2022!G58</f>
        <v>18.756613000000002</v>
      </c>
      <c r="M12" s="302">
        <f>ZoneInondable2022!G67</f>
        <v>32.363017999999997</v>
      </c>
      <c r="N12" s="76"/>
      <c r="O12" s="76"/>
      <c r="P12" s="76"/>
      <c r="Q12" s="76">
        <f t="shared" si="2"/>
        <v>219.46600100000001</v>
      </c>
      <c r="R12" s="77">
        <f t="shared" si="0"/>
        <v>0.15007639242830084</v>
      </c>
      <c r="S12" s="324">
        <v>0.15827426386949295</v>
      </c>
      <c r="T12" s="78">
        <v>0</v>
      </c>
      <c r="U12" s="79">
        <v>0</v>
      </c>
      <c r="V12" s="80">
        <v>0</v>
      </c>
      <c r="W12" s="80">
        <v>166.62223370000001</v>
      </c>
      <c r="X12" s="80">
        <v>34.671981800000005</v>
      </c>
      <c r="Y12" s="80">
        <v>30.160040500000004</v>
      </c>
      <c r="Z12" s="80"/>
      <c r="AA12" s="80"/>
      <c r="AB12" s="51">
        <f t="shared" si="3"/>
        <v>231.45425600000002</v>
      </c>
      <c r="AC12" s="216">
        <f t="shared" si="1"/>
        <v>0.15827426386949295</v>
      </c>
    </row>
    <row r="13" spans="1:29" s="28" customFormat="1" ht="26.25" x14ac:dyDescent="0.25">
      <c r="A13" s="17">
        <v>11</v>
      </c>
      <c r="B13" s="18">
        <v>30011</v>
      </c>
      <c r="C13" s="19" t="s">
        <v>610</v>
      </c>
      <c r="D13" s="20" t="s">
        <v>767</v>
      </c>
      <c r="E13" s="21"/>
      <c r="F13" s="22">
        <f>17015170.5371093/10000</f>
        <v>1701.51705371093</v>
      </c>
      <c r="G13" s="29" t="s">
        <v>1133</v>
      </c>
      <c r="H13" s="302">
        <f>ZoneInondable2022!G734</f>
        <v>470.96460000000002</v>
      </c>
      <c r="I13" s="302">
        <f>ZoneInondable2022!G612</f>
        <v>83.447509999999994</v>
      </c>
      <c r="J13" s="24">
        <v>0</v>
      </c>
      <c r="K13" s="24">
        <v>0</v>
      </c>
      <c r="L13" s="24">
        <v>0</v>
      </c>
      <c r="M13" s="24">
        <f>Y13/10000</f>
        <v>0</v>
      </c>
      <c r="N13" s="24"/>
      <c r="O13" s="24"/>
      <c r="P13" s="24"/>
      <c r="Q13" s="24">
        <f t="shared" si="2"/>
        <v>554.41210999999998</v>
      </c>
      <c r="R13" s="85">
        <f t="shared" si="0"/>
        <v>0.32583400136416663</v>
      </c>
      <c r="S13" s="324">
        <v>0.3273312214768756</v>
      </c>
      <c r="T13" s="25">
        <v>467.32699833284897</v>
      </c>
      <c r="U13" s="26">
        <v>83.447512874899999</v>
      </c>
      <c r="V13" s="27">
        <v>0</v>
      </c>
      <c r="W13" s="27">
        <v>2.8999292281861999</v>
      </c>
      <c r="X13" s="27">
        <v>3.2852151189980003</v>
      </c>
      <c r="Y13" s="27">
        <v>0</v>
      </c>
      <c r="Z13" s="27"/>
      <c r="AA13" s="27"/>
      <c r="AB13" s="160">
        <f t="shared" si="3"/>
        <v>556.95965555493331</v>
      </c>
      <c r="AC13" s="216">
        <f t="shared" si="1"/>
        <v>0.3273312214768756</v>
      </c>
    </row>
    <row r="14" spans="1:29" s="81" customFormat="1" x14ac:dyDescent="0.25">
      <c r="A14" s="70">
        <v>12</v>
      </c>
      <c r="B14" s="71">
        <v>30012</v>
      </c>
      <c r="C14" s="72" t="s">
        <v>288</v>
      </c>
      <c r="D14" s="84" t="s">
        <v>767</v>
      </c>
      <c r="E14" s="89" t="s">
        <v>768</v>
      </c>
      <c r="F14" s="74">
        <f>31358501.215332/10000</f>
        <v>3135.8501215332003</v>
      </c>
      <c r="G14" s="75" t="s">
        <v>11</v>
      </c>
      <c r="H14" s="76">
        <v>0</v>
      </c>
      <c r="I14" s="76">
        <v>0</v>
      </c>
      <c r="J14" s="76">
        <f t="shared" ref="J14:J36" si="4">V14/10000</f>
        <v>0</v>
      </c>
      <c r="K14" s="302">
        <f>ZoneInondable2022!G323</f>
        <v>1282.1081999999999</v>
      </c>
      <c r="L14" s="302">
        <f>ZoneInondable2022!G159</f>
        <v>157.61662000000001</v>
      </c>
      <c r="M14" s="302">
        <f>ZoneInondable2022!G219</f>
        <v>134.22112000000001</v>
      </c>
      <c r="N14" s="76"/>
      <c r="O14" s="76"/>
      <c r="P14" s="76"/>
      <c r="Q14" s="76">
        <f t="shared" si="2"/>
        <v>1573.9459399999998</v>
      </c>
      <c r="R14" s="77">
        <f t="shared" si="0"/>
        <v>0.501920014987979</v>
      </c>
      <c r="S14" s="324">
        <v>0.50526723494212289</v>
      </c>
      <c r="T14" s="78">
        <v>0</v>
      </c>
      <c r="U14" s="79">
        <v>0</v>
      </c>
      <c r="V14" s="80">
        <v>0</v>
      </c>
      <c r="W14" s="80">
        <v>1291.8681980000001</v>
      </c>
      <c r="X14" s="80">
        <v>157.65969920000001</v>
      </c>
      <c r="Y14" s="80">
        <v>134.91442290000001</v>
      </c>
      <c r="Z14" s="80"/>
      <c r="AA14" s="80"/>
      <c r="AB14" s="51">
        <f t="shared" si="3"/>
        <v>1584.4423201000002</v>
      </c>
      <c r="AC14" s="216">
        <f t="shared" si="1"/>
        <v>0.50526723494212289</v>
      </c>
    </row>
    <row r="15" spans="1:29" s="81" customFormat="1" x14ac:dyDescent="0.25">
      <c r="A15" s="70">
        <v>13</v>
      </c>
      <c r="B15" s="71">
        <v>30013</v>
      </c>
      <c r="C15" s="72" t="s">
        <v>769</v>
      </c>
      <c r="D15" s="84" t="s">
        <v>754</v>
      </c>
      <c r="E15" s="69"/>
      <c r="F15" s="74">
        <f>6727561.29736328/10000</f>
        <v>672.75612973632803</v>
      </c>
      <c r="G15" s="75" t="s">
        <v>11</v>
      </c>
      <c r="H15" s="76">
        <v>0</v>
      </c>
      <c r="I15" s="76">
        <v>0</v>
      </c>
      <c r="J15" s="76">
        <f t="shared" si="4"/>
        <v>0</v>
      </c>
      <c r="K15" s="302">
        <f>ZoneInondable2022!G578</f>
        <v>20.786650000000002</v>
      </c>
      <c r="L15" s="302">
        <f>ZoneInondable2022!G410</f>
        <v>97.745093999999995</v>
      </c>
      <c r="M15" s="302">
        <f>ZoneInondable2022!G329</f>
        <v>63.106205000000003</v>
      </c>
      <c r="N15" s="76"/>
      <c r="O15" s="76"/>
      <c r="P15" s="76"/>
      <c r="Q15" s="76">
        <f t="shared" si="2"/>
        <v>181.63794899999999</v>
      </c>
      <c r="R15" s="77">
        <f t="shared" si="0"/>
        <v>0.26999077521774345</v>
      </c>
      <c r="S15" s="324">
        <v>0.26461255071696027</v>
      </c>
      <c r="T15" s="78">
        <v>0</v>
      </c>
      <c r="U15" s="79">
        <v>0</v>
      </c>
      <c r="V15" s="80">
        <v>0</v>
      </c>
      <c r="W15" s="80">
        <v>18.798252299999994</v>
      </c>
      <c r="X15" s="80">
        <v>96.465908299999995</v>
      </c>
      <c r="Y15" s="80">
        <v>62.7555549</v>
      </c>
      <c r="Z15" s="80"/>
      <c r="AA15" s="80"/>
      <c r="AB15" s="51">
        <f t="shared" si="3"/>
        <v>178.01971549999999</v>
      </c>
      <c r="AC15" s="216">
        <f t="shared" si="1"/>
        <v>0.26461255071696027</v>
      </c>
    </row>
    <row r="16" spans="1:29" s="81" customFormat="1" ht="26.25" x14ac:dyDescent="0.25">
      <c r="A16" s="70">
        <v>14</v>
      </c>
      <c r="B16" s="71">
        <v>30014</v>
      </c>
      <c r="C16" s="72" t="s">
        <v>302</v>
      </c>
      <c r="D16" s="84" t="s">
        <v>754</v>
      </c>
      <c r="E16" s="69"/>
      <c r="F16" s="74">
        <f>13802804.1323242/10000</f>
        <v>1380.28041323242</v>
      </c>
      <c r="G16" s="75" t="s">
        <v>11</v>
      </c>
      <c r="H16" s="76">
        <v>0</v>
      </c>
      <c r="I16" s="76">
        <v>0</v>
      </c>
      <c r="J16" s="76">
        <f t="shared" si="4"/>
        <v>0</v>
      </c>
      <c r="K16" s="302">
        <f>ZoneInondable2022!G174</f>
        <v>110.154205</v>
      </c>
      <c r="L16" s="302">
        <f>ZoneInondable2022!G832</f>
        <v>9.2761890000000005</v>
      </c>
      <c r="M16" s="302">
        <f>ZoneInondable2022!G786</f>
        <v>28.828989</v>
      </c>
      <c r="N16" s="76"/>
      <c r="O16" s="76"/>
      <c r="P16" s="76"/>
      <c r="Q16" s="76">
        <f t="shared" si="2"/>
        <v>148.25938300000001</v>
      </c>
      <c r="R16" s="77">
        <f t="shared" si="0"/>
        <v>0.10741250950073085</v>
      </c>
      <c r="S16" s="324">
        <v>0.10147255011175454</v>
      </c>
      <c r="T16" s="78">
        <v>0</v>
      </c>
      <c r="U16" s="79">
        <v>0</v>
      </c>
      <c r="V16" s="80">
        <v>0</v>
      </c>
      <c r="W16" s="80">
        <v>100.6971549</v>
      </c>
      <c r="X16" s="80">
        <v>9.1949757999999999</v>
      </c>
      <c r="Y16" s="80">
        <v>30.168442700000003</v>
      </c>
      <c r="Z16" s="80"/>
      <c r="AA16" s="80"/>
      <c r="AB16" s="51">
        <f t="shared" si="3"/>
        <v>140.06057340000001</v>
      </c>
      <c r="AC16" s="216">
        <f t="shared" si="1"/>
        <v>0.10147255011175454</v>
      </c>
    </row>
    <row r="17" spans="1:29" s="28" customFormat="1" x14ac:dyDescent="0.25">
      <c r="A17" s="17">
        <v>15</v>
      </c>
      <c r="B17" s="18">
        <v>30015</v>
      </c>
      <c r="C17" s="19" t="s">
        <v>489</v>
      </c>
      <c r="D17" s="20" t="s">
        <v>770</v>
      </c>
      <c r="E17" s="21" t="s">
        <v>771</v>
      </c>
      <c r="F17" s="22">
        <f>21016970.2148437/10000</f>
        <v>2101.69702148437</v>
      </c>
      <c r="G17" s="23" t="s">
        <v>761</v>
      </c>
      <c r="H17" s="302">
        <f>ZoneInondable2022!G343</f>
        <v>86.669173999999998</v>
      </c>
      <c r="I17" s="24">
        <v>0</v>
      </c>
      <c r="J17" s="24">
        <f t="shared" si="4"/>
        <v>0</v>
      </c>
      <c r="K17" s="24">
        <f t="shared" ref="K17:M20" si="5">W17/10000</f>
        <v>0</v>
      </c>
      <c r="L17" s="24">
        <f t="shared" si="5"/>
        <v>0</v>
      </c>
      <c r="M17" s="24">
        <f t="shared" si="5"/>
        <v>0</v>
      </c>
      <c r="N17" s="24"/>
      <c r="O17" s="24"/>
      <c r="P17" s="24"/>
      <c r="Q17" s="24">
        <f t="shared" si="2"/>
        <v>86.669173999999998</v>
      </c>
      <c r="R17" s="85">
        <f t="shared" si="0"/>
        <v>4.1237710818464203E-2</v>
      </c>
      <c r="S17" s="324">
        <v>4.2926822150026515E-2</v>
      </c>
      <c r="T17" s="25">
        <v>90.219174254500004</v>
      </c>
      <c r="U17" s="26">
        <v>0</v>
      </c>
      <c r="V17" s="27">
        <v>0</v>
      </c>
      <c r="W17" s="27">
        <v>0</v>
      </c>
      <c r="X17" s="27">
        <v>0</v>
      </c>
      <c r="Y17" s="27">
        <v>0</v>
      </c>
      <c r="Z17" s="27"/>
      <c r="AA17" s="27"/>
      <c r="AB17" s="160">
        <f t="shared" si="3"/>
        <v>90.219174254500004</v>
      </c>
      <c r="AC17" s="216">
        <f t="shared" si="1"/>
        <v>4.2926822150026515E-2</v>
      </c>
    </row>
    <row r="18" spans="1:29" s="28" customFormat="1" x14ac:dyDescent="0.25">
      <c r="A18" s="17">
        <v>16</v>
      </c>
      <c r="B18" s="18">
        <v>30016</v>
      </c>
      <c r="C18" s="19" t="s">
        <v>689</v>
      </c>
      <c r="D18" s="20" t="s">
        <v>770</v>
      </c>
      <c r="E18" s="21"/>
      <c r="F18" s="22">
        <f>7181403.12255859/10000</f>
        <v>718.14031225585904</v>
      </c>
      <c r="G18" s="23" t="s">
        <v>761</v>
      </c>
      <c r="H18" s="302">
        <f>ZoneInondable2022!G740</f>
        <v>30.548732999999999</v>
      </c>
      <c r="I18" s="24">
        <v>0</v>
      </c>
      <c r="J18" s="24">
        <f t="shared" si="4"/>
        <v>0</v>
      </c>
      <c r="K18" s="24">
        <f t="shared" si="5"/>
        <v>0</v>
      </c>
      <c r="L18" s="24">
        <f t="shared" si="5"/>
        <v>0</v>
      </c>
      <c r="M18" s="24">
        <f t="shared" si="5"/>
        <v>0</v>
      </c>
      <c r="N18" s="24"/>
      <c r="O18" s="24"/>
      <c r="P18" s="24"/>
      <c r="Q18" s="24">
        <f t="shared" si="2"/>
        <v>30.548732999999999</v>
      </c>
      <c r="R18" s="85">
        <f t="shared" si="0"/>
        <v>4.2538668946238034E-2</v>
      </c>
      <c r="S18" s="324">
        <v>3.7784896065035815E-2</v>
      </c>
      <c r="T18" s="25">
        <v>27.1348570587</v>
      </c>
      <c r="U18" s="26">
        <v>0</v>
      </c>
      <c r="V18" s="27">
        <v>0</v>
      </c>
      <c r="W18" s="27">
        <v>0</v>
      </c>
      <c r="X18" s="27">
        <v>0</v>
      </c>
      <c r="Y18" s="27">
        <v>0</v>
      </c>
      <c r="Z18" s="27"/>
      <c r="AA18" s="27"/>
      <c r="AB18" s="160">
        <f t="shared" si="3"/>
        <v>27.1348570587</v>
      </c>
      <c r="AC18" s="216">
        <f t="shared" si="1"/>
        <v>3.7784896065035815E-2</v>
      </c>
    </row>
    <row r="19" spans="1:29" s="28" customFormat="1" x14ac:dyDescent="0.25">
      <c r="A19" s="17">
        <v>17</v>
      </c>
      <c r="B19" s="18">
        <v>30017</v>
      </c>
      <c r="C19" s="19" t="s">
        <v>398</v>
      </c>
      <c r="D19" s="20" t="s">
        <v>770</v>
      </c>
      <c r="E19" s="21"/>
      <c r="F19" s="22">
        <f>20095125.3466796/10000</f>
        <v>2009.5125346679602</v>
      </c>
      <c r="G19" s="23" t="s">
        <v>761</v>
      </c>
      <c r="H19" s="302">
        <f>ZoneInondable2022!G251</f>
        <v>40.196120000000001</v>
      </c>
      <c r="I19" s="24">
        <v>0</v>
      </c>
      <c r="J19" s="24">
        <f t="shared" si="4"/>
        <v>0</v>
      </c>
      <c r="K19" s="24">
        <f t="shared" si="5"/>
        <v>0</v>
      </c>
      <c r="L19" s="24">
        <f t="shared" si="5"/>
        <v>0</v>
      </c>
      <c r="M19" s="24">
        <f t="shared" si="5"/>
        <v>0</v>
      </c>
      <c r="N19" s="24"/>
      <c r="O19" s="24"/>
      <c r="P19" s="24"/>
      <c r="Q19" s="24">
        <f t="shared" si="2"/>
        <v>40.196120000000001</v>
      </c>
      <c r="R19" s="85">
        <f t="shared" si="0"/>
        <v>2.0002920761398368E-2</v>
      </c>
      <c r="S19" s="324">
        <v>1.7671428887786271E-2</v>
      </c>
      <c r="T19" s="25">
        <v>35.510957855500003</v>
      </c>
      <c r="U19" s="26">
        <v>0</v>
      </c>
      <c r="V19" s="27">
        <v>0</v>
      </c>
      <c r="W19" s="27">
        <v>0</v>
      </c>
      <c r="X19" s="27">
        <v>0</v>
      </c>
      <c r="Y19" s="27">
        <v>0</v>
      </c>
      <c r="Z19" s="27"/>
      <c r="AA19" s="27"/>
      <c r="AB19" s="160">
        <f t="shared" si="3"/>
        <v>35.510957855500003</v>
      </c>
      <c r="AC19" s="216">
        <f t="shared" si="1"/>
        <v>1.7671428887786271E-2</v>
      </c>
    </row>
    <row r="20" spans="1:29" s="33" customFormat="1" x14ac:dyDescent="0.25">
      <c r="A20" s="30">
        <v>18</v>
      </c>
      <c r="B20" s="18">
        <v>30018</v>
      </c>
      <c r="C20" s="19" t="s">
        <v>668</v>
      </c>
      <c r="D20" s="20" t="s">
        <v>755</v>
      </c>
      <c r="E20" s="21"/>
      <c r="F20" s="22">
        <f>10055414.8081054/10000</f>
        <v>1005.54148081054</v>
      </c>
      <c r="G20" s="23" t="s">
        <v>761</v>
      </c>
      <c r="H20" s="302">
        <f>ZoneInondable2022!G708</f>
        <v>49.842216000000001</v>
      </c>
      <c r="I20" s="24">
        <v>0</v>
      </c>
      <c r="J20" s="24">
        <f t="shared" si="4"/>
        <v>0</v>
      </c>
      <c r="K20" s="24">
        <f t="shared" si="5"/>
        <v>0</v>
      </c>
      <c r="L20" s="24">
        <f t="shared" si="5"/>
        <v>0</v>
      </c>
      <c r="M20" s="24">
        <f t="shared" si="5"/>
        <v>0</v>
      </c>
      <c r="N20" s="24"/>
      <c r="O20" s="24"/>
      <c r="P20" s="24"/>
      <c r="Q20" s="24">
        <f t="shared" si="2"/>
        <v>49.842216000000001</v>
      </c>
      <c r="R20" s="85">
        <f t="shared" si="0"/>
        <v>4.9567538436926073E-2</v>
      </c>
      <c r="S20" s="324">
        <v>5.0238512753613386E-2</v>
      </c>
      <c r="T20" s="31">
        <v>50.516908507987601</v>
      </c>
      <c r="U20" s="24">
        <v>0</v>
      </c>
      <c r="V20" s="32">
        <v>0</v>
      </c>
      <c r="W20" s="32">
        <v>0</v>
      </c>
      <c r="X20" s="32">
        <v>0</v>
      </c>
      <c r="Y20" s="32">
        <v>0</v>
      </c>
      <c r="Z20" s="32"/>
      <c r="AA20" s="27"/>
      <c r="AB20" s="160">
        <f t="shared" si="3"/>
        <v>50.516908507987601</v>
      </c>
      <c r="AC20" s="216">
        <f t="shared" si="1"/>
        <v>5.0238512753613386E-2</v>
      </c>
    </row>
    <row r="21" spans="1:29" s="81" customFormat="1" x14ac:dyDescent="0.25">
      <c r="A21" s="70">
        <v>19</v>
      </c>
      <c r="B21" s="71">
        <v>30019</v>
      </c>
      <c r="C21" s="72" t="s">
        <v>439</v>
      </c>
      <c r="D21" s="84" t="s">
        <v>755</v>
      </c>
      <c r="E21" s="69"/>
      <c r="F21" s="74">
        <f>11894543.4453125/10000</f>
        <v>1189.4543445312499</v>
      </c>
      <c r="G21" s="75" t="s">
        <v>11</v>
      </c>
      <c r="H21" s="76">
        <v>0</v>
      </c>
      <c r="I21" s="76">
        <v>0</v>
      </c>
      <c r="J21" s="76">
        <f t="shared" si="4"/>
        <v>0</v>
      </c>
      <c r="K21" s="302">
        <f>ZoneInondable2022!G332</f>
        <v>124.83165</v>
      </c>
      <c r="L21" s="302">
        <f>ZoneInondable2022!G560</f>
        <v>4.248653</v>
      </c>
      <c r="M21" s="302">
        <f>ZoneInondable2022!G288</f>
        <v>28.591272</v>
      </c>
      <c r="N21" s="76"/>
      <c r="O21" s="76"/>
      <c r="P21" s="76"/>
      <c r="Q21" s="76">
        <f t="shared" si="2"/>
        <v>157.67157499999999</v>
      </c>
      <c r="R21" s="77">
        <f t="shared" si="0"/>
        <v>0.13255790415573834</v>
      </c>
      <c r="S21" s="324">
        <v>0.13436441940638025</v>
      </c>
      <c r="T21" s="78">
        <v>0</v>
      </c>
      <c r="U21" s="79">
        <v>0</v>
      </c>
      <c r="V21" s="80">
        <v>0</v>
      </c>
      <c r="W21" s="80">
        <v>126.886934721638</v>
      </c>
      <c r="X21" s="80">
        <v>4.2481187759000001</v>
      </c>
      <c r="Y21" s="80">
        <v>28.685288915800001</v>
      </c>
      <c r="Z21" s="80"/>
      <c r="AA21" s="80"/>
      <c r="AB21" s="51">
        <f t="shared" si="3"/>
        <v>159.82034241333798</v>
      </c>
      <c r="AC21" s="216">
        <f t="shared" si="1"/>
        <v>0.13436441940638025</v>
      </c>
    </row>
    <row r="22" spans="1:29" s="81" customFormat="1" x14ac:dyDescent="0.25">
      <c r="A22" s="70">
        <v>20</v>
      </c>
      <c r="B22" s="71">
        <v>30020</v>
      </c>
      <c r="C22" s="72" t="s">
        <v>168</v>
      </c>
      <c r="D22" s="84" t="s">
        <v>758</v>
      </c>
      <c r="E22" s="69"/>
      <c r="F22" s="74">
        <f>9447160.57568359/10000</f>
        <v>944.71605756835902</v>
      </c>
      <c r="G22" s="75" t="s">
        <v>11</v>
      </c>
      <c r="H22" s="76">
        <v>0</v>
      </c>
      <c r="I22" s="76">
        <v>0</v>
      </c>
      <c r="J22" s="76">
        <f t="shared" si="4"/>
        <v>0</v>
      </c>
      <c r="K22" s="302">
        <f>ZoneInondable2022!G246</f>
        <v>251.14368999999999</v>
      </c>
      <c r="L22" s="302">
        <f>ZoneInondable2022!G83</f>
        <v>181.35686000000001</v>
      </c>
      <c r="M22" s="302">
        <f>ZoneInondable2022!G312</f>
        <v>71.92586</v>
      </c>
      <c r="N22" s="76"/>
      <c r="O22" s="76"/>
      <c r="P22" s="76"/>
      <c r="Q22" s="76">
        <f t="shared" si="2"/>
        <v>504.42640999999998</v>
      </c>
      <c r="R22" s="77">
        <f t="shared" si="0"/>
        <v>0.53394499432809739</v>
      </c>
      <c r="S22" s="324">
        <v>0.53671402530623424</v>
      </c>
      <c r="T22" s="78">
        <v>0</v>
      </c>
      <c r="U22" s="79">
        <v>0</v>
      </c>
      <c r="V22" s="80">
        <v>0</v>
      </c>
      <c r="W22" s="80">
        <v>248.54575455237901</v>
      </c>
      <c r="X22" s="80">
        <v>176.91548387287102</v>
      </c>
      <c r="Y22" s="80">
        <v>81.581119603700003</v>
      </c>
      <c r="Z22" s="80"/>
      <c r="AA22" s="80"/>
      <c r="AB22" s="51">
        <f t="shared" si="3"/>
        <v>507.04235802895005</v>
      </c>
      <c r="AC22" s="216">
        <f t="shared" si="1"/>
        <v>0.53671402530623424</v>
      </c>
    </row>
    <row r="23" spans="1:29" s="81" customFormat="1" x14ac:dyDescent="0.25">
      <c r="A23" s="70">
        <v>21</v>
      </c>
      <c r="B23" s="71">
        <v>30021</v>
      </c>
      <c r="C23" s="72" t="s">
        <v>286</v>
      </c>
      <c r="D23" s="84" t="s">
        <v>754</v>
      </c>
      <c r="E23" s="69"/>
      <c r="F23" s="74">
        <f>8189146.14990234/10000</f>
        <v>818.91461499023399</v>
      </c>
      <c r="G23" s="75" t="s">
        <v>11</v>
      </c>
      <c r="H23" s="76">
        <v>0</v>
      </c>
      <c r="I23" s="76">
        <v>0</v>
      </c>
      <c r="J23" s="76">
        <f t="shared" si="4"/>
        <v>0</v>
      </c>
      <c r="K23" s="302">
        <f>ZoneInondable2022!G823</f>
        <v>52.079802999999998</v>
      </c>
      <c r="L23" s="302">
        <f>ZoneInondable2022!G158</f>
        <v>48.512129999999999</v>
      </c>
      <c r="M23" s="302">
        <f>ZoneInondable2022!G621</f>
        <v>61.197949999999999</v>
      </c>
      <c r="N23" s="76"/>
      <c r="O23" s="76"/>
      <c r="P23" s="76"/>
      <c r="Q23" s="76">
        <f t="shared" si="2"/>
        <v>161.789883</v>
      </c>
      <c r="R23" s="77">
        <f t="shared" si="0"/>
        <v>0.19756624199695036</v>
      </c>
      <c r="S23" s="324">
        <v>0.197886083644914</v>
      </c>
      <c r="T23" s="78">
        <v>0</v>
      </c>
      <c r="U23" s="79">
        <v>0</v>
      </c>
      <c r="V23" s="80">
        <v>0</v>
      </c>
      <c r="W23" s="80">
        <v>52.207730100000006</v>
      </c>
      <c r="X23" s="80">
        <v>48.604450999999997</v>
      </c>
      <c r="Y23" s="80">
        <v>61.239624899999995</v>
      </c>
      <c r="Z23" s="80"/>
      <c r="AA23" s="80"/>
      <c r="AB23" s="51">
        <f t="shared" si="3"/>
        <v>162.051806</v>
      </c>
      <c r="AC23" s="216">
        <f t="shared" si="1"/>
        <v>0.197886083644914</v>
      </c>
    </row>
    <row r="24" spans="1:29" s="28" customFormat="1" x14ac:dyDescent="0.25">
      <c r="A24" s="17">
        <v>22</v>
      </c>
      <c r="B24" s="18">
        <v>30022</v>
      </c>
      <c r="C24" s="19" t="s">
        <v>471</v>
      </c>
      <c r="D24" s="20" t="s">
        <v>765</v>
      </c>
      <c r="E24" s="21"/>
      <c r="F24" s="22">
        <f>16250684.7348632/10000</f>
        <v>1625.0684734863198</v>
      </c>
      <c r="G24" s="23" t="s">
        <v>761</v>
      </c>
      <c r="H24" s="302">
        <f>ZoneInondable2022!G328</f>
        <v>62.319679999999998</v>
      </c>
      <c r="I24" s="24">
        <v>0</v>
      </c>
      <c r="J24" s="24">
        <f t="shared" si="4"/>
        <v>0</v>
      </c>
      <c r="K24" s="24">
        <f t="shared" ref="K24:M28" si="6">W24/10000</f>
        <v>0</v>
      </c>
      <c r="L24" s="24">
        <f t="shared" si="6"/>
        <v>0</v>
      </c>
      <c r="M24" s="24">
        <f t="shared" si="6"/>
        <v>0</v>
      </c>
      <c r="N24" s="24"/>
      <c r="O24" s="24"/>
      <c r="P24" s="24"/>
      <c r="Q24" s="24">
        <f t="shared" si="2"/>
        <v>62.319679999999998</v>
      </c>
      <c r="R24" s="85">
        <f t="shared" si="0"/>
        <v>3.8348956377390837E-2</v>
      </c>
      <c r="S24" s="324">
        <v>2.7617812270098054E-2</v>
      </c>
      <c r="T24" s="25">
        <v>44.880836026799997</v>
      </c>
      <c r="U24" s="26">
        <v>0</v>
      </c>
      <c r="V24" s="27">
        <v>0</v>
      </c>
      <c r="W24" s="27">
        <v>0</v>
      </c>
      <c r="X24" s="27">
        <v>0</v>
      </c>
      <c r="Y24" s="27">
        <v>0</v>
      </c>
      <c r="Z24" s="27"/>
      <c r="AA24" s="27"/>
      <c r="AB24" s="160">
        <f t="shared" si="3"/>
        <v>44.880836026799997</v>
      </c>
      <c r="AC24" s="216">
        <f t="shared" si="1"/>
        <v>2.7617812270098054E-2</v>
      </c>
    </row>
    <row r="25" spans="1:29" s="28" customFormat="1" x14ac:dyDescent="0.25">
      <c r="A25" s="17">
        <v>23</v>
      </c>
      <c r="B25" s="18">
        <v>30023</v>
      </c>
      <c r="C25" s="19" t="s">
        <v>606</v>
      </c>
      <c r="D25" s="20" t="s">
        <v>755</v>
      </c>
      <c r="E25" s="21"/>
      <c r="F25" s="22">
        <f>6931080.22949218/10000</f>
        <v>693.10802294921803</v>
      </c>
      <c r="G25" s="23" t="s">
        <v>761</v>
      </c>
      <c r="H25" s="302">
        <f>ZoneInondable2022!G605</f>
        <v>59.609923999999999</v>
      </c>
      <c r="I25" s="24">
        <v>0</v>
      </c>
      <c r="J25" s="24">
        <f t="shared" si="4"/>
        <v>0</v>
      </c>
      <c r="K25" s="24">
        <f t="shared" si="6"/>
        <v>0</v>
      </c>
      <c r="L25" s="24">
        <f t="shared" si="6"/>
        <v>0</v>
      </c>
      <c r="M25" s="24">
        <f t="shared" si="6"/>
        <v>0</v>
      </c>
      <c r="N25" s="24"/>
      <c r="O25" s="24"/>
      <c r="P25" s="24"/>
      <c r="Q25" s="24">
        <f t="shared" si="2"/>
        <v>59.609923999999999</v>
      </c>
      <c r="R25" s="85">
        <f t="shared" si="0"/>
        <v>8.6003800311466663E-2</v>
      </c>
      <c r="S25" s="324">
        <v>8.839958071897619E-2</v>
      </c>
      <c r="T25" s="25">
        <v>61.270458621669398</v>
      </c>
      <c r="U25" s="26">
        <v>0</v>
      </c>
      <c r="V25" s="27">
        <v>0</v>
      </c>
      <c r="W25" s="27">
        <v>0</v>
      </c>
      <c r="X25" s="27">
        <v>0</v>
      </c>
      <c r="Y25" s="27">
        <v>0</v>
      </c>
      <c r="Z25" s="27"/>
      <c r="AA25" s="27"/>
      <c r="AB25" s="160">
        <f t="shared" si="3"/>
        <v>61.270458621669398</v>
      </c>
      <c r="AC25" s="216">
        <f t="shared" si="1"/>
        <v>8.839958071897619E-2</v>
      </c>
    </row>
    <row r="26" spans="1:29" s="28" customFormat="1" x14ac:dyDescent="0.25">
      <c r="A26" s="17">
        <v>24</v>
      </c>
      <c r="B26" s="18">
        <v>30024</v>
      </c>
      <c r="C26" s="19" t="s">
        <v>674</v>
      </c>
      <c r="D26" s="20" t="s">
        <v>770</v>
      </c>
      <c r="E26" s="21"/>
      <c r="F26" s="22">
        <f>2946396.46484375/10000</f>
        <v>294.63964648437502</v>
      </c>
      <c r="G26" s="23" t="s">
        <v>761</v>
      </c>
      <c r="H26" s="302">
        <f>ZoneInondable2022!G724</f>
        <v>44.177371999999998</v>
      </c>
      <c r="I26" s="24">
        <v>0</v>
      </c>
      <c r="J26" s="24">
        <f t="shared" si="4"/>
        <v>0</v>
      </c>
      <c r="K26" s="24">
        <f t="shared" si="6"/>
        <v>0</v>
      </c>
      <c r="L26" s="24">
        <f t="shared" si="6"/>
        <v>0</v>
      </c>
      <c r="M26" s="24">
        <f t="shared" si="6"/>
        <v>0</v>
      </c>
      <c r="N26" s="24"/>
      <c r="O26" s="24"/>
      <c r="P26" s="24"/>
      <c r="Q26" s="24">
        <f t="shared" si="2"/>
        <v>44.177371999999998</v>
      </c>
      <c r="R26" s="85">
        <f t="shared" si="0"/>
        <v>0.14993695698159468</v>
      </c>
      <c r="S26" s="324">
        <v>0.14495387370506127</v>
      </c>
      <c r="T26" s="25">
        <v>42.709158105</v>
      </c>
      <c r="U26" s="26">
        <v>0</v>
      </c>
      <c r="V26" s="27">
        <v>0</v>
      </c>
      <c r="W26" s="27">
        <v>0</v>
      </c>
      <c r="X26" s="27">
        <v>0</v>
      </c>
      <c r="Y26" s="27">
        <v>0</v>
      </c>
      <c r="Z26" s="27"/>
      <c r="AA26" s="27"/>
      <c r="AB26" s="160">
        <f t="shared" si="3"/>
        <v>42.709158105</v>
      </c>
      <c r="AC26" s="216">
        <f t="shared" si="1"/>
        <v>0.14495387370506127</v>
      </c>
    </row>
    <row r="27" spans="1:29" s="28" customFormat="1" x14ac:dyDescent="0.25">
      <c r="A27" s="17">
        <v>25</v>
      </c>
      <c r="B27" s="18">
        <v>30025</v>
      </c>
      <c r="C27" s="19" t="s">
        <v>463</v>
      </c>
      <c r="D27" s="20" t="s">
        <v>770</v>
      </c>
      <c r="E27" s="21"/>
      <c r="F27" s="22">
        <f>21375252.6801757/10000</f>
        <v>2137.5252680175699</v>
      </c>
      <c r="G27" s="23" t="s">
        <v>761</v>
      </c>
      <c r="H27" s="302">
        <f>ZoneInondable2022!G322</f>
        <v>54.09892</v>
      </c>
      <c r="I27" s="24">
        <v>0</v>
      </c>
      <c r="J27" s="24">
        <f t="shared" si="4"/>
        <v>0</v>
      </c>
      <c r="K27" s="24">
        <f t="shared" si="6"/>
        <v>0</v>
      </c>
      <c r="L27" s="24">
        <f t="shared" si="6"/>
        <v>0</v>
      </c>
      <c r="M27" s="24">
        <f t="shared" si="6"/>
        <v>0</v>
      </c>
      <c r="N27" s="24"/>
      <c r="O27" s="24"/>
      <c r="P27" s="24"/>
      <c r="Q27" s="24">
        <f t="shared" si="2"/>
        <v>54.09892</v>
      </c>
      <c r="R27" s="85">
        <f t="shared" si="0"/>
        <v>2.5309137070540267E-2</v>
      </c>
      <c r="S27" s="324">
        <v>2.8444100679749364E-2</v>
      </c>
      <c r="T27" s="25">
        <v>60.799983929000007</v>
      </c>
      <c r="U27" s="26">
        <v>0</v>
      </c>
      <c r="V27" s="27">
        <v>0</v>
      </c>
      <c r="W27" s="27">
        <v>0</v>
      </c>
      <c r="X27" s="27">
        <v>0</v>
      </c>
      <c r="Y27" s="27">
        <v>0</v>
      </c>
      <c r="Z27" s="27"/>
      <c r="AA27" s="27"/>
      <c r="AB27" s="160">
        <f t="shared" si="3"/>
        <v>60.799983929000007</v>
      </c>
      <c r="AC27" s="216">
        <f t="shared" si="1"/>
        <v>2.8444100679749364E-2</v>
      </c>
    </row>
    <row r="28" spans="1:29" s="28" customFormat="1" x14ac:dyDescent="0.25">
      <c r="A28" s="17">
        <v>26</v>
      </c>
      <c r="B28" s="18">
        <v>30026</v>
      </c>
      <c r="C28" s="19" t="s">
        <v>713</v>
      </c>
      <c r="D28" s="20" t="s">
        <v>770</v>
      </c>
      <c r="E28" s="21"/>
      <c r="F28" s="22">
        <f>4116526.53808593/10000</f>
        <v>411.65265380859302</v>
      </c>
      <c r="G28" s="23" t="s">
        <v>761</v>
      </c>
      <c r="H28" s="302">
        <f>ZoneInondable2022!G807</f>
        <v>95.802170000000004</v>
      </c>
      <c r="I28" s="24">
        <v>0</v>
      </c>
      <c r="J28" s="24">
        <f t="shared" si="4"/>
        <v>0</v>
      </c>
      <c r="K28" s="24">
        <f t="shared" si="6"/>
        <v>0</v>
      </c>
      <c r="L28" s="24">
        <f t="shared" si="6"/>
        <v>0</v>
      </c>
      <c r="M28" s="24">
        <f t="shared" si="6"/>
        <v>0</v>
      </c>
      <c r="N28" s="24"/>
      <c r="O28" s="24"/>
      <c r="P28" s="24"/>
      <c r="Q28" s="24">
        <f t="shared" si="2"/>
        <v>95.802170000000004</v>
      </c>
      <c r="R28" s="85">
        <f t="shared" si="0"/>
        <v>0.23272574369105206</v>
      </c>
      <c r="S28" s="324">
        <v>0.23485489965103656</v>
      </c>
      <c r="T28" s="25">
        <v>96.678642701300006</v>
      </c>
      <c r="U28" s="26">
        <v>0</v>
      </c>
      <c r="V28" s="27">
        <v>0</v>
      </c>
      <c r="W28" s="27">
        <v>0</v>
      </c>
      <c r="X28" s="27">
        <v>0</v>
      </c>
      <c r="Y28" s="27">
        <v>0</v>
      </c>
      <c r="Z28" s="27"/>
      <c r="AA28" s="27"/>
      <c r="AB28" s="160">
        <f t="shared" si="3"/>
        <v>96.678642701300006</v>
      </c>
      <c r="AC28" s="216">
        <f t="shared" si="1"/>
        <v>0.23485489965103656</v>
      </c>
    </row>
    <row r="29" spans="1:29" s="81" customFormat="1" x14ac:dyDescent="0.25">
      <c r="A29" s="70">
        <v>27</v>
      </c>
      <c r="B29" s="71">
        <v>30027</v>
      </c>
      <c r="C29" s="72" t="s">
        <v>380</v>
      </c>
      <c r="D29" s="84" t="s">
        <v>754</v>
      </c>
      <c r="E29" s="69"/>
      <c r="F29" s="74">
        <f>14511815.1601562/10000</f>
        <v>1451.18151601562</v>
      </c>
      <c r="G29" s="75" t="s">
        <v>11</v>
      </c>
      <c r="H29" s="76">
        <v>0</v>
      </c>
      <c r="I29" s="76">
        <v>0</v>
      </c>
      <c r="J29" s="76">
        <f t="shared" si="4"/>
        <v>0</v>
      </c>
      <c r="K29" s="302">
        <f>ZoneInondable2022!G240</f>
        <v>21.45093</v>
      </c>
      <c r="L29" s="302">
        <f>ZoneInondable2022!G639</f>
        <v>20.348616</v>
      </c>
      <c r="M29" s="302">
        <f>ZoneInondable2022!G693</f>
        <v>103.01730000000001</v>
      </c>
      <c r="N29" s="76"/>
      <c r="O29" s="76"/>
      <c r="P29" s="76"/>
      <c r="Q29" s="76">
        <f t="shared" si="2"/>
        <v>144.816846</v>
      </c>
      <c r="R29" s="77">
        <f t="shared" si="0"/>
        <v>9.9792372216544439E-2</v>
      </c>
      <c r="S29" s="324">
        <v>0.10318393955835727</v>
      </c>
      <c r="T29" s="78">
        <v>0</v>
      </c>
      <c r="U29" s="79">
        <v>0</v>
      </c>
      <c r="V29" s="80">
        <v>0</v>
      </c>
      <c r="W29" s="80">
        <v>24.26319060285909</v>
      </c>
      <c r="X29" s="80">
        <v>21.084486269901898</v>
      </c>
      <c r="Y29" s="80">
        <v>104.390948964</v>
      </c>
      <c r="Z29" s="80"/>
      <c r="AA29" s="80"/>
      <c r="AB29" s="51">
        <f t="shared" si="3"/>
        <v>149.738625836761</v>
      </c>
      <c r="AC29" s="216">
        <f t="shared" si="1"/>
        <v>0.10318393955835727</v>
      </c>
    </row>
    <row r="30" spans="1:29" s="81" customFormat="1" ht="26.25" x14ac:dyDescent="0.25">
      <c r="A30" s="70">
        <v>28</v>
      </c>
      <c r="B30" s="71">
        <v>30028</v>
      </c>
      <c r="C30" s="72" t="s">
        <v>322</v>
      </c>
      <c r="D30" s="84" t="s">
        <v>765</v>
      </c>
      <c r="E30" s="69"/>
      <c r="F30" s="74">
        <f>31203533.5117187/10000</f>
        <v>3120.3533511718701</v>
      </c>
      <c r="G30" s="75" t="s">
        <v>11</v>
      </c>
      <c r="H30" s="76">
        <v>0</v>
      </c>
      <c r="I30" s="76">
        <v>0</v>
      </c>
      <c r="J30" s="76">
        <f t="shared" si="4"/>
        <v>0</v>
      </c>
      <c r="K30" s="302">
        <f>ZoneInondable2022!G191</f>
        <v>631.17145000000005</v>
      </c>
      <c r="L30" s="302">
        <f>ZoneInondable2022!G310</f>
        <v>168.75023999999999</v>
      </c>
      <c r="M30" s="302">
        <f>ZoneInondable2022!G600</f>
        <v>206.57213999999999</v>
      </c>
      <c r="N30" s="76"/>
      <c r="O30" s="76"/>
      <c r="P30" s="76"/>
      <c r="Q30" s="76">
        <f t="shared" si="2"/>
        <v>1006.49383</v>
      </c>
      <c r="R30" s="77">
        <f t="shared" si="0"/>
        <v>0.3225576454737103</v>
      </c>
      <c r="S30" s="324">
        <v>0.32497440452350446</v>
      </c>
      <c r="T30" s="78">
        <v>0</v>
      </c>
      <c r="U30" s="79">
        <v>0</v>
      </c>
      <c r="V30" s="80">
        <v>0</v>
      </c>
      <c r="W30" s="80">
        <v>637.19315530000006</v>
      </c>
      <c r="X30" s="80">
        <v>165.26170440000001</v>
      </c>
      <c r="Y30" s="80">
        <v>211.58011250000001</v>
      </c>
      <c r="Z30" s="80"/>
      <c r="AA30" s="80"/>
      <c r="AB30" s="51">
        <f t="shared" si="3"/>
        <v>1014.0349722000001</v>
      </c>
      <c r="AC30" s="216">
        <f t="shared" si="1"/>
        <v>0.32497440452350446</v>
      </c>
    </row>
    <row r="31" spans="1:29" s="81" customFormat="1" x14ac:dyDescent="0.25">
      <c r="A31" s="70">
        <v>29</v>
      </c>
      <c r="B31" s="71">
        <v>30029</v>
      </c>
      <c r="C31" s="72" t="s">
        <v>184</v>
      </c>
      <c r="D31" s="84" t="s">
        <v>765</v>
      </c>
      <c r="E31" s="69" t="s">
        <v>772</v>
      </c>
      <c r="F31" s="74">
        <f>42985495.8930664/10000</f>
        <v>4298.54958930664</v>
      </c>
      <c r="G31" s="75" t="s">
        <v>11</v>
      </c>
      <c r="H31" s="76">
        <v>0</v>
      </c>
      <c r="I31" s="76">
        <v>0</v>
      </c>
      <c r="J31" s="76">
        <f t="shared" si="4"/>
        <v>0</v>
      </c>
      <c r="K31" s="302">
        <f>ZoneInondable2022!G350</f>
        <v>173.97792000000001</v>
      </c>
      <c r="L31" s="302">
        <f>ZoneInondable2022!G91</f>
        <v>37.941679999999998</v>
      </c>
      <c r="M31" s="302">
        <f>ZoneInondable2022!G681</f>
        <v>159.57758000000001</v>
      </c>
      <c r="N31" s="76"/>
      <c r="O31" s="76"/>
      <c r="P31" s="76"/>
      <c r="Q31" s="76">
        <f t="shared" si="2"/>
        <v>371.49718000000001</v>
      </c>
      <c r="R31" s="77">
        <f t="shared" si="0"/>
        <v>8.6423844201811997E-2</v>
      </c>
      <c r="S31" s="324">
        <v>8.7715933634896423E-2</v>
      </c>
      <c r="T31" s="78">
        <v>0</v>
      </c>
      <c r="U31" s="79">
        <v>0</v>
      </c>
      <c r="V31" s="80">
        <v>0</v>
      </c>
      <c r="W31" s="80">
        <v>178.71105068818522</v>
      </c>
      <c r="X31" s="80">
        <v>37.892149219747232</v>
      </c>
      <c r="Y31" s="80">
        <v>160.44809059400001</v>
      </c>
      <c r="Z31" s="80"/>
      <c r="AA31" s="80"/>
      <c r="AB31" s="51">
        <f t="shared" si="3"/>
        <v>377.0512905019325</v>
      </c>
      <c r="AC31" s="216">
        <f t="shared" si="1"/>
        <v>8.7715933634896423E-2</v>
      </c>
    </row>
    <row r="32" spans="1:29" s="81" customFormat="1" x14ac:dyDescent="0.25">
      <c r="A32" s="70">
        <v>30</v>
      </c>
      <c r="B32" s="71">
        <v>30030</v>
      </c>
      <c r="C32" s="72" t="s">
        <v>164</v>
      </c>
      <c r="D32" s="84" t="s">
        <v>754</v>
      </c>
      <c r="E32" s="69"/>
      <c r="F32" s="74">
        <f>10051387.7822265/10000</f>
        <v>1005.1387782226499</v>
      </c>
      <c r="G32" s="75" t="s">
        <v>11</v>
      </c>
      <c r="H32" s="76">
        <v>0</v>
      </c>
      <c r="I32" s="76">
        <v>0</v>
      </c>
      <c r="J32" s="76">
        <f t="shared" si="4"/>
        <v>0</v>
      </c>
      <c r="K32" s="302">
        <f>ZoneInondable2022!G599</f>
        <v>17.687096</v>
      </c>
      <c r="L32" s="302">
        <f>ZoneInondable2022!G314</f>
        <v>20.917677000000001</v>
      </c>
      <c r="M32" s="302">
        <f>ZoneInondable2022!G79</f>
        <v>64.869609999999994</v>
      </c>
      <c r="N32" s="76"/>
      <c r="O32" s="76"/>
      <c r="P32" s="76"/>
      <c r="Q32" s="76">
        <f t="shared" si="2"/>
        <v>103.47438299999999</v>
      </c>
      <c r="R32" s="77">
        <f t="shared" si="0"/>
        <v>0.10294536957669662</v>
      </c>
      <c r="S32" s="324">
        <v>0.10556909304368223</v>
      </c>
      <c r="T32" s="78">
        <v>0</v>
      </c>
      <c r="U32" s="79">
        <v>0</v>
      </c>
      <c r="V32" s="80">
        <v>0</v>
      </c>
      <c r="W32" s="80">
        <v>19.695176399999994</v>
      </c>
      <c r="X32" s="80">
        <v>21.191366599999998</v>
      </c>
      <c r="Y32" s="80">
        <v>65.225046200000008</v>
      </c>
      <c r="Z32" s="80"/>
      <c r="AA32" s="80"/>
      <c r="AB32" s="51">
        <f t="shared" si="3"/>
        <v>106.1115892</v>
      </c>
      <c r="AC32" s="216">
        <f t="shared" si="1"/>
        <v>0.10556909304368223</v>
      </c>
    </row>
    <row r="33" spans="1:29" s="81" customFormat="1" ht="26.25" x14ac:dyDescent="0.25">
      <c r="A33" s="70">
        <v>31</v>
      </c>
      <c r="B33" s="71">
        <v>30031</v>
      </c>
      <c r="C33" s="72" t="s">
        <v>268</v>
      </c>
      <c r="D33" s="84" t="s">
        <v>765</v>
      </c>
      <c r="E33" s="69"/>
      <c r="F33" s="74">
        <f>9787829.4711914/10000</f>
        <v>978.78294711914009</v>
      </c>
      <c r="G33" s="75" t="s">
        <v>11</v>
      </c>
      <c r="H33" s="76">
        <v>0</v>
      </c>
      <c r="I33" s="76">
        <v>0</v>
      </c>
      <c r="J33" s="76">
        <f t="shared" si="4"/>
        <v>0</v>
      </c>
      <c r="K33" s="302">
        <f>ZoneInondable2022!G146</f>
        <v>65.976320000000001</v>
      </c>
      <c r="L33" s="302">
        <f>ZoneInondable2022!G554</f>
        <v>11.492058</v>
      </c>
      <c r="M33" s="302">
        <f>ZoneInondable2022!G451</f>
        <v>11.053347</v>
      </c>
      <c r="N33" s="76"/>
      <c r="O33" s="76"/>
      <c r="P33" s="76"/>
      <c r="Q33" s="76">
        <f t="shared" si="2"/>
        <v>88.521725000000004</v>
      </c>
      <c r="R33" s="88">
        <f t="shared" si="0"/>
        <v>9.0440608166035913E-2</v>
      </c>
      <c r="S33" s="324">
        <v>5.407084321858132E-2</v>
      </c>
      <c r="T33" s="78">
        <v>52.923619278699995</v>
      </c>
      <c r="U33" s="79">
        <v>0</v>
      </c>
      <c r="V33" s="80">
        <v>0</v>
      </c>
      <c r="W33" s="80">
        <v>0</v>
      </c>
      <c r="X33" s="80">
        <v>0</v>
      </c>
      <c r="Y33" s="80">
        <v>0</v>
      </c>
      <c r="Z33" s="80"/>
      <c r="AA33" s="80"/>
      <c r="AB33" s="51">
        <f t="shared" si="3"/>
        <v>52.923619278699995</v>
      </c>
      <c r="AC33" s="216">
        <f t="shared" si="1"/>
        <v>5.407084321858132E-2</v>
      </c>
    </row>
    <row r="34" spans="1:29" s="81" customFormat="1" x14ac:dyDescent="0.25">
      <c r="A34" s="70">
        <v>32</v>
      </c>
      <c r="B34" s="71">
        <v>30032</v>
      </c>
      <c r="C34" s="72" t="s">
        <v>194</v>
      </c>
      <c r="D34" s="84" t="s">
        <v>773</v>
      </c>
      <c r="E34" s="69"/>
      <c r="F34" s="74">
        <f>86558954.4458007/10000</f>
        <v>8655.89544458007</v>
      </c>
      <c r="G34" s="75" t="s">
        <v>11</v>
      </c>
      <c r="H34" s="76">
        <v>0</v>
      </c>
      <c r="I34" s="76">
        <v>0</v>
      </c>
      <c r="J34" s="76">
        <f t="shared" si="4"/>
        <v>0</v>
      </c>
      <c r="K34" s="302">
        <f>ZoneInondable2022!G96</f>
        <v>5571.7790000000005</v>
      </c>
      <c r="L34" s="302">
        <f>ZoneInondable2022!G286</f>
        <v>607.62427000000002</v>
      </c>
      <c r="M34" s="302">
        <f>ZoneInondable2022!G765</f>
        <v>0.11604765</v>
      </c>
      <c r="N34" s="76"/>
      <c r="O34" s="76"/>
      <c r="P34" s="76"/>
      <c r="Q34" s="76">
        <f t="shared" si="2"/>
        <v>6179.5193176500006</v>
      </c>
      <c r="R34" s="77">
        <f t="shared" si="0"/>
        <v>0.71390872928338522</v>
      </c>
      <c r="S34" s="324">
        <v>0.71508195639951888</v>
      </c>
      <c r="T34" s="78">
        <v>0</v>
      </c>
      <c r="U34" s="79">
        <v>0</v>
      </c>
      <c r="V34" s="80">
        <v>0</v>
      </c>
      <c r="W34" s="80">
        <v>5582.3011079999997</v>
      </c>
      <c r="X34" s="80">
        <v>607.37354089999997</v>
      </c>
      <c r="Y34" s="80">
        <v>0</v>
      </c>
      <c r="Z34" s="80"/>
      <c r="AA34" s="80"/>
      <c r="AB34" s="51">
        <f t="shared" si="3"/>
        <v>6189.6746488999997</v>
      </c>
      <c r="AC34" s="216">
        <f t="shared" si="1"/>
        <v>0.71508195639951888</v>
      </c>
    </row>
    <row r="35" spans="1:29" s="81" customFormat="1" x14ac:dyDescent="0.25">
      <c r="A35" s="70">
        <v>33</v>
      </c>
      <c r="B35" s="71">
        <v>30033</v>
      </c>
      <c r="C35" s="72" t="s">
        <v>362</v>
      </c>
      <c r="D35" s="84" t="s">
        <v>758</v>
      </c>
      <c r="E35" s="69" t="s">
        <v>774</v>
      </c>
      <c r="F35" s="74">
        <f>27998393.2490234/10000</f>
        <v>2799.8393249023402</v>
      </c>
      <c r="G35" s="75" t="s">
        <v>11</v>
      </c>
      <c r="H35" s="76">
        <v>0</v>
      </c>
      <c r="I35" s="76">
        <v>0</v>
      </c>
      <c r="J35" s="76">
        <f t="shared" si="4"/>
        <v>0</v>
      </c>
      <c r="K35" s="302">
        <f>ZoneInondable2022!G641</f>
        <v>205.56357</v>
      </c>
      <c r="L35" s="302">
        <f>ZoneInondable2022!G779</f>
        <v>24.906140000000001</v>
      </c>
      <c r="M35" s="302">
        <f>ZoneInondable2022!G220</f>
        <v>96.768410000000003</v>
      </c>
      <c r="N35" s="76"/>
      <c r="O35" s="76"/>
      <c r="P35" s="76"/>
      <c r="Q35" s="76">
        <f t="shared" si="2"/>
        <v>327.23811999999998</v>
      </c>
      <c r="R35" s="77">
        <f t="shared" si="0"/>
        <v>0.11687746403498143</v>
      </c>
      <c r="S35" s="324">
        <v>0.11862312160041034</v>
      </c>
      <c r="T35" s="78">
        <v>0</v>
      </c>
      <c r="U35" s="79">
        <v>0</v>
      </c>
      <c r="V35" s="80">
        <v>0</v>
      </c>
      <c r="W35" s="80">
        <v>206.1313444255081</v>
      </c>
      <c r="X35" s="80">
        <v>24.932122227814613</v>
      </c>
      <c r="Y35" s="80">
        <v>101.06221404617841</v>
      </c>
      <c r="Z35" s="80"/>
      <c r="AA35" s="80"/>
      <c r="AB35" s="51">
        <f t="shared" si="3"/>
        <v>332.12568069950112</v>
      </c>
      <c r="AC35" s="216">
        <f t="shared" si="1"/>
        <v>0.11862312160041034</v>
      </c>
    </row>
    <row r="36" spans="1:29" s="81" customFormat="1" x14ac:dyDescent="0.25">
      <c r="A36" s="70">
        <v>34</v>
      </c>
      <c r="B36" s="71">
        <v>30034</v>
      </c>
      <c r="C36" s="72" t="s">
        <v>566</v>
      </c>
      <c r="D36" s="84" t="s">
        <v>773</v>
      </c>
      <c r="E36" s="69" t="s">
        <v>775</v>
      </c>
      <c r="F36" s="74">
        <f>45099545.9716796/10000</f>
        <v>4509.9545971679599</v>
      </c>
      <c r="G36" s="75" t="s">
        <v>11</v>
      </c>
      <c r="H36" s="76">
        <v>0</v>
      </c>
      <c r="I36" s="76">
        <v>0</v>
      </c>
      <c r="J36" s="76">
        <f t="shared" si="4"/>
        <v>0</v>
      </c>
      <c r="K36" s="302">
        <f>ZoneInondable2022!G522</f>
        <v>1685.0419999999999</v>
      </c>
      <c r="L36" s="302">
        <f>ZoneInondable2022!G537</f>
        <v>62.60389</v>
      </c>
      <c r="M36" s="302">
        <f>ZoneInondable2022!G489</f>
        <v>381.73577999999998</v>
      </c>
      <c r="N36" s="76"/>
      <c r="O36" s="76"/>
      <c r="P36" s="76"/>
      <c r="Q36" s="76">
        <f t="shared" si="2"/>
        <v>2129.3816699999998</v>
      </c>
      <c r="R36" s="77">
        <f t="shared" si="0"/>
        <v>0.47215146496976967</v>
      </c>
      <c r="S36" s="324">
        <v>0.47245188165264518</v>
      </c>
      <c r="T36" s="78">
        <v>0</v>
      </c>
      <c r="U36" s="79">
        <v>0</v>
      </c>
      <c r="V36" s="80">
        <v>0</v>
      </c>
      <c r="W36" s="80">
        <v>1686.1229969999999</v>
      </c>
      <c r="X36" s="80">
        <v>62.553040899999999</v>
      </c>
      <c r="Y36" s="80">
        <v>382.06049769999998</v>
      </c>
      <c r="Z36" s="80"/>
      <c r="AA36" s="80"/>
      <c r="AB36" s="51">
        <f t="shared" si="3"/>
        <v>2130.7365356</v>
      </c>
      <c r="AC36" s="216">
        <f t="shared" si="1"/>
        <v>0.47245188165264518</v>
      </c>
    </row>
    <row r="37" spans="1:29" s="102" customFormat="1" x14ac:dyDescent="0.25">
      <c r="A37" s="91">
        <v>35</v>
      </c>
      <c r="B37" s="92">
        <v>30035</v>
      </c>
      <c r="C37" s="93" t="s">
        <v>392</v>
      </c>
      <c r="D37" s="94" t="s">
        <v>754</v>
      </c>
      <c r="E37" s="95"/>
      <c r="F37" s="96">
        <f>22361540.871582/10000</f>
        <v>2236.1540871582001</v>
      </c>
      <c r="G37" s="97" t="s">
        <v>837</v>
      </c>
      <c r="H37" s="98">
        <v>0</v>
      </c>
      <c r="I37" s="98">
        <v>0</v>
      </c>
      <c r="J37" s="302">
        <f>ZoneInondable2022!G248</f>
        <v>50.356414999999998</v>
      </c>
      <c r="K37" s="302">
        <f>ZoneInondable2022!G465</f>
        <v>34.298682999999997</v>
      </c>
      <c r="L37" s="302">
        <f>ZoneInondable2022!G691</f>
        <v>45.333820000000003</v>
      </c>
      <c r="M37" s="302">
        <f>ZoneInondable2022!G793</f>
        <v>50.061301999999998</v>
      </c>
      <c r="N37" s="98"/>
      <c r="O37" s="98"/>
      <c r="P37" s="98"/>
      <c r="Q37" s="98">
        <f t="shared" si="2"/>
        <v>180.05022000000002</v>
      </c>
      <c r="R37" s="88">
        <f t="shared" si="0"/>
        <v>8.0517805563576128E-2</v>
      </c>
      <c r="S37" s="324">
        <v>3.8913192342154519E-2</v>
      </c>
      <c r="T37" s="99">
        <v>87.015894100281997</v>
      </c>
      <c r="U37" s="100">
        <v>0</v>
      </c>
      <c r="V37" s="101">
        <v>0</v>
      </c>
      <c r="W37" s="101">
        <v>0</v>
      </c>
      <c r="X37" s="101">
        <v>0</v>
      </c>
      <c r="Y37" s="101">
        <v>0</v>
      </c>
      <c r="Z37" s="101"/>
      <c r="AA37" s="101"/>
      <c r="AB37" s="161">
        <f t="shared" si="3"/>
        <v>87.015894100281997</v>
      </c>
      <c r="AC37" s="216">
        <f t="shared" si="1"/>
        <v>3.8913192342154519E-2</v>
      </c>
    </row>
    <row r="38" spans="1:29" s="81" customFormat="1" x14ac:dyDescent="0.25">
      <c r="A38" s="70">
        <v>36</v>
      </c>
      <c r="B38" s="71">
        <v>30036</v>
      </c>
      <c r="C38" s="72" t="s">
        <v>326</v>
      </c>
      <c r="D38" s="84" t="s">
        <v>758</v>
      </c>
      <c r="E38" s="69"/>
      <c r="F38" s="74">
        <f>12869489.5258789/10000</f>
        <v>1286.9489525878901</v>
      </c>
      <c r="G38" s="75" t="s">
        <v>11</v>
      </c>
      <c r="H38" s="76">
        <v>0</v>
      </c>
      <c r="I38" s="76">
        <v>0</v>
      </c>
      <c r="J38" s="76">
        <f t="shared" ref="J38:J48" si="7">V38/10000</f>
        <v>0</v>
      </c>
      <c r="K38" s="302">
        <f>ZoneInondable2022!G236</f>
        <v>324.85692999999998</v>
      </c>
      <c r="L38" s="302">
        <f>ZoneInondable2022!G658</f>
        <v>222.40488999999999</v>
      </c>
      <c r="M38" s="302">
        <f>ZoneInondable2022!G196</f>
        <v>76.475110000000001</v>
      </c>
      <c r="N38" s="76"/>
      <c r="O38" s="76"/>
      <c r="P38" s="76"/>
      <c r="Q38" s="76">
        <f t="shared" si="2"/>
        <v>623.73692999999992</v>
      </c>
      <c r="R38" s="77">
        <f t="shared" si="0"/>
        <v>0.48466330288061898</v>
      </c>
      <c r="S38" s="324">
        <v>0.48960946781530496</v>
      </c>
      <c r="T38" s="78">
        <v>0</v>
      </c>
      <c r="U38" s="79">
        <v>0</v>
      </c>
      <c r="V38" s="80">
        <v>0</v>
      </c>
      <c r="W38" s="80">
        <v>333.31899402381498</v>
      </c>
      <c r="X38" s="80">
        <v>220.512279741106</v>
      </c>
      <c r="Y38" s="80">
        <v>76.271118017099994</v>
      </c>
      <c r="Z38" s="80"/>
      <c r="AA38" s="80"/>
      <c r="AB38" s="51">
        <f t="shared" si="3"/>
        <v>630.10239178202096</v>
      </c>
      <c r="AC38" s="216">
        <f t="shared" si="1"/>
        <v>0.48960946781530496</v>
      </c>
    </row>
    <row r="39" spans="1:29" s="81" customFormat="1" x14ac:dyDescent="0.25">
      <c r="A39" s="70">
        <v>37</v>
      </c>
      <c r="B39" s="71">
        <v>30037</v>
      </c>
      <c r="C39" s="72" t="s">
        <v>119</v>
      </c>
      <c r="D39" s="84" t="s">
        <v>765</v>
      </c>
      <c r="E39" s="69"/>
      <c r="F39" s="74">
        <f>10248109.4707031/10000</f>
        <v>1024.81094707031</v>
      </c>
      <c r="G39" s="75" t="s">
        <v>11</v>
      </c>
      <c r="H39" s="76">
        <v>0</v>
      </c>
      <c r="I39" s="76">
        <v>0</v>
      </c>
      <c r="J39" s="76">
        <f t="shared" si="7"/>
        <v>0</v>
      </c>
      <c r="K39" s="302">
        <f>ZoneInondable2022!G184</f>
        <v>163.59408999999999</v>
      </c>
      <c r="L39" s="302">
        <f>ZoneInondable2022!G97</f>
        <v>20.592832999999999</v>
      </c>
      <c r="M39" s="302">
        <f>ZoneInondable2022!G55</f>
        <v>63.719925000000003</v>
      </c>
      <c r="N39" s="76"/>
      <c r="O39" s="76"/>
      <c r="P39" s="76"/>
      <c r="Q39" s="76">
        <f t="shared" si="2"/>
        <v>247.90684799999997</v>
      </c>
      <c r="R39" s="77">
        <f t="shared" si="0"/>
        <v>0.24190495691786518</v>
      </c>
      <c r="S39" s="324">
        <v>0.24018694619155687</v>
      </c>
      <c r="T39" s="78">
        <v>0</v>
      </c>
      <c r="U39" s="79">
        <v>0</v>
      </c>
      <c r="V39" s="80">
        <v>0</v>
      </c>
      <c r="W39" s="80">
        <v>161.858989827616</v>
      </c>
      <c r="X39" s="80">
        <v>20.912281829579001</v>
      </c>
      <c r="Y39" s="80">
        <v>63.374940143300002</v>
      </c>
      <c r="Z39" s="80"/>
      <c r="AA39" s="80"/>
      <c r="AB39" s="51">
        <f t="shared" si="3"/>
        <v>246.146211800495</v>
      </c>
      <c r="AC39" s="216">
        <f t="shared" si="1"/>
        <v>0.24018694619155687</v>
      </c>
    </row>
    <row r="40" spans="1:29" s="28" customFormat="1" ht="26.25" x14ac:dyDescent="0.25">
      <c r="A40" s="17">
        <v>38</v>
      </c>
      <c r="B40" s="18">
        <v>30038</v>
      </c>
      <c r="C40" s="19" t="s">
        <v>776</v>
      </c>
      <c r="D40" s="20" t="s">
        <v>766</v>
      </c>
      <c r="E40" s="21"/>
      <c r="F40" s="22">
        <f>8389846.50585937/10000</f>
        <v>838.98465058593695</v>
      </c>
      <c r="G40" s="23" t="s">
        <v>761</v>
      </c>
      <c r="H40" s="302">
        <f>ZoneInondable2022!G630</f>
        <v>38.175780000000003</v>
      </c>
      <c r="I40" s="24">
        <v>0</v>
      </c>
      <c r="J40" s="24">
        <f t="shared" si="7"/>
        <v>0</v>
      </c>
      <c r="K40" s="24">
        <f>W40/10000</f>
        <v>0</v>
      </c>
      <c r="L40" s="24">
        <f>X40/10000</f>
        <v>0</v>
      </c>
      <c r="M40" s="24">
        <f>Y40/10000</f>
        <v>0</v>
      </c>
      <c r="N40" s="24"/>
      <c r="O40" s="24"/>
      <c r="P40" s="24"/>
      <c r="Q40" s="24">
        <f t="shared" si="2"/>
        <v>38.175780000000003</v>
      </c>
      <c r="R40" s="85">
        <f t="shared" si="0"/>
        <v>4.5502358086454253E-2</v>
      </c>
      <c r="S40" s="324">
        <v>4.7390433556361487E-2</v>
      </c>
      <c r="T40" s="25">
        <v>39.759846338400003</v>
      </c>
      <c r="U40" s="26">
        <v>0</v>
      </c>
      <c r="V40" s="27">
        <v>0</v>
      </c>
      <c r="W40" s="27">
        <v>0</v>
      </c>
      <c r="X40" s="27">
        <v>0</v>
      </c>
      <c r="Y40" s="27">
        <v>0</v>
      </c>
      <c r="Z40" s="27"/>
      <c r="AA40" s="27"/>
      <c r="AB40" s="160">
        <f t="shared" si="3"/>
        <v>39.759846338400003</v>
      </c>
      <c r="AC40" s="216">
        <f t="shared" si="1"/>
        <v>4.7390433556361487E-2</v>
      </c>
    </row>
    <row r="41" spans="1:29" s="54" customFormat="1" x14ac:dyDescent="0.25">
      <c r="A41" s="56">
        <v>39</v>
      </c>
      <c r="B41" s="57">
        <v>30039</v>
      </c>
      <c r="C41" s="58" t="s">
        <v>204</v>
      </c>
      <c r="D41" s="59" t="s">
        <v>758</v>
      </c>
      <c r="E41" s="60"/>
      <c r="F41" s="61">
        <f>12496672.3203125/10000</f>
        <v>1249.66723203125</v>
      </c>
      <c r="G41" s="48" t="s">
        <v>11</v>
      </c>
      <c r="H41" s="49">
        <v>0</v>
      </c>
      <c r="I41" s="49">
        <v>0</v>
      </c>
      <c r="J41" s="49">
        <f t="shared" si="7"/>
        <v>0</v>
      </c>
      <c r="K41" s="302">
        <f>ZoneInondable2022!G105</f>
        <v>114.14792</v>
      </c>
      <c r="L41" s="302">
        <f>ZoneInondable2022!G177</f>
        <v>338.39210000000003</v>
      </c>
      <c r="M41" s="302">
        <f>ZoneInondable2022!G745</f>
        <v>31.147849999999998</v>
      </c>
      <c r="N41" s="49"/>
      <c r="O41" s="49"/>
      <c r="P41" s="49"/>
      <c r="Q41" s="49">
        <f t="shared" si="2"/>
        <v>483.68787000000003</v>
      </c>
      <c r="R41" s="55">
        <f t="shared" si="0"/>
        <v>0.38705333516171175</v>
      </c>
      <c r="S41" s="324">
        <v>0.3901175541078658</v>
      </c>
      <c r="T41" s="62">
        <v>0</v>
      </c>
      <c r="U41" s="63">
        <v>0</v>
      </c>
      <c r="V41" s="64">
        <v>0</v>
      </c>
      <c r="W41" s="64">
        <v>114.60163821700002</v>
      </c>
      <c r="X41" s="64">
        <v>338.75476786447803</v>
      </c>
      <c r="Y41" s="64">
        <v>34.160717927299999</v>
      </c>
      <c r="Z41" s="64"/>
      <c r="AA41" s="64"/>
      <c r="AB41" s="51">
        <f t="shared" si="3"/>
        <v>487.51712400877807</v>
      </c>
      <c r="AC41" s="216">
        <f t="shared" si="1"/>
        <v>0.3901175541078658</v>
      </c>
    </row>
    <row r="42" spans="1:29" s="28" customFormat="1" x14ac:dyDescent="0.25">
      <c r="A42" s="17">
        <v>40</v>
      </c>
      <c r="B42" s="18">
        <v>30040</v>
      </c>
      <c r="C42" s="19" t="s">
        <v>586</v>
      </c>
      <c r="D42" s="20" t="s">
        <v>770</v>
      </c>
      <c r="E42" s="21"/>
      <c r="F42" s="22">
        <f>37353834.0727539/10000</f>
        <v>3735.3834072753898</v>
      </c>
      <c r="G42" s="23" t="s">
        <v>761</v>
      </c>
      <c r="H42" s="302">
        <f>ZoneInondable2022!G562</f>
        <v>25.203085000000002</v>
      </c>
      <c r="I42" s="24">
        <v>0</v>
      </c>
      <c r="J42" s="24">
        <f t="shared" si="7"/>
        <v>0</v>
      </c>
      <c r="K42" s="24">
        <f>W42/10000</f>
        <v>0</v>
      </c>
      <c r="L42" s="24">
        <f>X42/10000</f>
        <v>0</v>
      </c>
      <c r="M42" s="24">
        <f>Y42/10000</f>
        <v>0</v>
      </c>
      <c r="N42" s="24"/>
      <c r="O42" s="24"/>
      <c r="P42" s="24"/>
      <c r="Q42" s="24">
        <f t="shared" si="2"/>
        <v>25.203085000000002</v>
      </c>
      <c r="R42" s="85">
        <f t="shared" si="0"/>
        <v>6.7471213131460785E-3</v>
      </c>
      <c r="S42" s="324">
        <v>4.1846075851960339E-3</v>
      </c>
      <c r="T42" s="25">
        <v>15.631113739700002</v>
      </c>
      <c r="U42" s="26">
        <v>0</v>
      </c>
      <c r="V42" s="27">
        <v>0</v>
      </c>
      <c r="W42" s="27">
        <v>0</v>
      </c>
      <c r="X42" s="27">
        <v>0</v>
      </c>
      <c r="Y42" s="27">
        <v>0</v>
      </c>
      <c r="Z42" s="27"/>
      <c r="AA42" s="27"/>
      <c r="AB42" s="160">
        <f t="shared" si="3"/>
        <v>15.631113739700002</v>
      </c>
      <c r="AC42" s="216">
        <f t="shared" si="1"/>
        <v>4.1846075851960339E-3</v>
      </c>
    </row>
    <row r="43" spans="1:29" s="107" customFormat="1" x14ac:dyDescent="0.25">
      <c r="A43" s="104">
        <v>41</v>
      </c>
      <c r="B43" s="71">
        <v>30041</v>
      </c>
      <c r="C43" s="72" t="s">
        <v>390</v>
      </c>
      <c r="D43" s="84" t="s">
        <v>754</v>
      </c>
      <c r="E43" s="69"/>
      <c r="F43" s="74">
        <f>15748624.7226562/10000</f>
        <v>1574.86247226562</v>
      </c>
      <c r="G43" s="75" t="s">
        <v>11</v>
      </c>
      <c r="H43" s="76">
        <v>0</v>
      </c>
      <c r="I43" s="76">
        <v>0</v>
      </c>
      <c r="J43" s="76">
        <f t="shared" si="7"/>
        <v>0</v>
      </c>
      <c r="K43" s="302">
        <f>ZoneInondable2022!G330</f>
        <v>84.920044000000004</v>
      </c>
      <c r="L43" s="302">
        <f>ZoneInondable2022!G514</f>
        <v>92.840310000000002</v>
      </c>
      <c r="M43" s="302">
        <f>ZoneInondable2022!G245</f>
        <v>154.81666999999999</v>
      </c>
      <c r="N43" s="76"/>
      <c r="O43" s="76"/>
      <c r="P43" s="76"/>
      <c r="Q43" s="76">
        <f t="shared" si="2"/>
        <v>332.57702399999999</v>
      </c>
      <c r="R43" s="77">
        <f t="shared" si="0"/>
        <v>0.21117845517110448</v>
      </c>
      <c r="S43" s="324">
        <v>0.20786198938950123</v>
      </c>
      <c r="T43" s="105">
        <v>0</v>
      </c>
      <c r="U43" s="76">
        <v>0</v>
      </c>
      <c r="V43" s="106">
        <v>0</v>
      </c>
      <c r="W43" s="106">
        <v>82.033871299999987</v>
      </c>
      <c r="X43" s="106">
        <v>91.247992000000011</v>
      </c>
      <c r="Y43" s="106">
        <v>154.07218319999998</v>
      </c>
      <c r="Z43" s="106"/>
      <c r="AA43" s="106"/>
      <c r="AB43" s="51">
        <f t="shared" si="3"/>
        <v>327.35404649999998</v>
      </c>
      <c r="AC43" s="216">
        <f t="shared" si="1"/>
        <v>0.20786198938950123</v>
      </c>
    </row>
    <row r="44" spans="1:29" s="28" customFormat="1" ht="26.25" x14ac:dyDescent="0.25">
      <c r="A44" s="17">
        <v>42</v>
      </c>
      <c r="B44" s="18">
        <v>30042</v>
      </c>
      <c r="C44" s="19" t="s">
        <v>652</v>
      </c>
      <c r="D44" s="20" t="s">
        <v>754</v>
      </c>
      <c r="E44" s="21"/>
      <c r="F44" s="22">
        <f>14452364.3530273/10000</f>
        <v>1445.2364353027301</v>
      </c>
      <c r="G44" s="23" t="s">
        <v>761</v>
      </c>
      <c r="H44" s="302">
        <f>ZoneInondable2022!G669</f>
        <v>226.46297999999999</v>
      </c>
      <c r="I44" s="24">
        <v>0</v>
      </c>
      <c r="J44" s="24">
        <f t="shared" si="7"/>
        <v>0</v>
      </c>
      <c r="K44" s="24">
        <f>W44/10000</f>
        <v>0</v>
      </c>
      <c r="L44" s="24">
        <f>X44/10000</f>
        <v>0</v>
      </c>
      <c r="M44" s="24">
        <f>Y44/10000</f>
        <v>0</v>
      </c>
      <c r="N44" s="24"/>
      <c r="O44" s="24"/>
      <c r="P44" s="24"/>
      <c r="Q44" s="24">
        <f t="shared" si="2"/>
        <v>226.46297999999999</v>
      </c>
      <c r="R44" s="85">
        <f t="shared" si="0"/>
        <v>0.15669614636622647</v>
      </c>
      <c r="S44" s="324">
        <v>0.15747453326672303</v>
      </c>
      <c r="T44" s="25">
        <v>227.58793310935999</v>
      </c>
      <c r="U44" s="26">
        <v>0</v>
      </c>
      <c r="V44" s="27">
        <v>0</v>
      </c>
      <c r="W44" s="27">
        <v>0</v>
      </c>
      <c r="X44" s="27">
        <v>0</v>
      </c>
      <c r="Y44" s="27">
        <v>0</v>
      </c>
      <c r="Z44" s="27"/>
      <c r="AA44" s="27"/>
      <c r="AB44" s="160">
        <f t="shared" si="3"/>
        <v>227.58793310935999</v>
      </c>
      <c r="AC44" s="216">
        <f t="shared" si="1"/>
        <v>0.15747453326672303</v>
      </c>
    </row>
    <row r="45" spans="1:29" s="81" customFormat="1" x14ac:dyDescent="0.25">
      <c r="A45" s="70">
        <v>43</v>
      </c>
      <c r="B45" s="71">
        <v>30043</v>
      </c>
      <c r="C45" s="72" t="s">
        <v>174</v>
      </c>
      <c r="D45" s="84" t="s">
        <v>758</v>
      </c>
      <c r="E45" s="69"/>
      <c r="F45" s="74">
        <f>3421852.33789062/10000</f>
        <v>342.18523378906201</v>
      </c>
      <c r="G45" s="75" t="s">
        <v>11</v>
      </c>
      <c r="H45" s="76">
        <v>0</v>
      </c>
      <c r="I45" s="76">
        <v>0</v>
      </c>
      <c r="J45" s="76">
        <f t="shared" si="7"/>
        <v>0</v>
      </c>
      <c r="K45" s="302">
        <f>ZoneInondable2022!G670</f>
        <v>36.747574</v>
      </c>
      <c r="L45" s="302">
        <f>ZoneInondable2022!G386</f>
        <v>37.915813</v>
      </c>
      <c r="M45" s="302">
        <f>ZoneInondable2022!G86</f>
        <v>19.3096</v>
      </c>
      <c r="N45" s="76"/>
      <c r="O45" s="76"/>
      <c r="P45" s="76"/>
      <c r="Q45" s="76">
        <f t="shared" si="2"/>
        <v>93.972987000000003</v>
      </c>
      <c r="R45" s="77">
        <f t="shared" si="0"/>
        <v>0.27462607301730929</v>
      </c>
      <c r="S45" s="324">
        <v>0.2734037482098694</v>
      </c>
      <c r="T45" s="78">
        <v>0</v>
      </c>
      <c r="U45" s="79">
        <v>0</v>
      </c>
      <c r="V45" s="80">
        <v>0</v>
      </c>
      <c r="W45" s="80">
        <v>36.560916600000006</v>
      </c>
      <c r="X45" s="80">
        <v>39.611044100000001</v>
      </c>
      <c r="Y45" s="80">
        <v>17.3827648</v>
      </c>
      <c r="Z45" s="80"/>
      <c r="AA45" s="80"/>
      <c r="AB45" s="51">
        <f t="shared" si="3"/>
        <v>93.554725500000004</v>
      </c>
      <c r="AC45" s="216">
        <f t="shared" si="1"/>
        <v>0.2734037482098694</v>
      </c>
    </row>
    <row r="46" spans="1:29" s="119" customFormat="1" x14ac:dyDescent="0.25">
      <c r="A46" s="108">
        <v>44</v>
      </c>
      <c r="B46" s="109">
        <v>30044</v>
      </c>
      <c r="C46" s="110" t="s">
        <v>777</v>
      </c>
      <c r="D46" s="111" t="s">
        <v>765</v>
      </c>
      <c r="E46" s="137"/>
      <c r="F46" s="112">
        <f>8953640.43505859/10000</f>
        <v>895.36404350585906</v>
      </c>
      <c r="G46" s="113" t="s">
        <v>778</v>
      </c>
      <c r="H46" s="114">
        <f>T46/10000</f>
        <v>0</v>
      </c>
      <c r="I46" s="114">
        <v>0</v>
      </c>
      <c r="J46" s="114">
        <f t="shared" si="7"/>
        <v>0</v>
      </c>
      <c r="K46" s="114">
        <f>W46/10000</f>
        <v>0</v>
      </c>
      <c r="L46" s="114">
        <f>X46/10000</f>
        <v>0</v>
      </c>
      <c r="M46" s="114">
        <f>Y46/10000</f>
        <v>0</v>
      </c>
      <c r="N46" s="114"/>
      <c r="O46" s="114"/>
      <c r="P46" s="114"/>
      <c r="Q46" s="114">
        <f t="shared" si="2"/>
        <v>0</v>
      </c>
      <c r="R46" s="115">
        <f t="shared" si="0"/>
        <v>0</v>
      </c>
      <c r="S46" s="324">
        <v>0</v>
      </c>
      <c r="T46" s="116">
        <v>0</v>
      </c>
      <c r="U46" s="117">
        <v>0</v>
      </c>
      <c r="V46" s="118">
        <v>0</v>
      </c>
      <c r="W46" s="118">
        <v>0</v>
      </c>
      <c r="X46" s="118">
        <v>0</v>
      </c>
      <c r="Y46" s="118">
        <v>0</v>
      </c>
      <c r="Z46" s="118"/>
      <c r="AA46" s="118"/>
      <c r="AB46" s="162">
        <f t="shared" si="3"/>
        <v>0</v>
      </c>
      <c r="AC46" s="216">
        <f t="shared" si="1"/>
        <v>0</v>
      </c>
    </row>
    <row r="47" spans="1:29" s="81" customFormat="1" x14ac:dyDescent="0.25">
      <c r="A47" s="70">
        <v>45</v>
      </c>
      <c r="B47" s="71">
        <v>30045</v>
      </c>
      <c r="C47" s="72" t="s">
        <v>612</v>
      </c>
      <c r="D47" s="84" t="s">
        <v>765</v>
      </c>
      <c r="E47" s="69"/>
      <c r="F47" s="74">
        <f>9459092.92919921/10000</f>
        <v>945.90929291992097</v>
      </c>
      <c r="G47" s="75" t="s">
        <v>11</v>
      </c>
      <c r="H47" s="76">
        <v>0</v>
      </c>
      <c r="I47" s="76">
        <v>0</v>
      </c>
      <c r="J47" s="76">
        <f t="shared" si="7"/>
        <v>0</v>
      </c>
      <c r="K47" s="302">
        <f>ZoneInondable2022!G649</f>
        <v>13.587084000000001</v>
      </c>
      <c r="L47" s="302">
        <f>ZoneInondable2022!G675</f>
        <v>1.1732594000000001</v>
      </c>
      <c r="M47" s="302">
        <f>ZoneInondable2022!G614</f>
        <v>5.4427422999999999</v>
      </c>
      <c r="N47" s="76"/>
      <c r="O47" s="76"/>
      <c r="P47" s="76"/>
      <c r="Q47" s="76">
        <f t="shared" si="2"/>
        <v>20.203085699999999</v>
      </c>
      <c r="R47" s="77">
        <f t="shared" si="0"/>
        <v>2.1358375323320095E-2</v>
      </c>
      <c r="S47" s="324">
        <v>1.9824750569049844E-2</v>
      </c>
      <c r="T47" s="78">
        <v>0</v>
      </c>
      <c r="U47" s="79">
        <v>0</v>
      </c>
      <c r="V47" s="80">
        <v>0</v>
      </c>
      <c r="W47" s="80">
        <v>12.6353742278</v>
      </c>
      <c r="X47" s="80">
        <v>0.83955343693374906</v>
      </c>
      <c r="Y47" s="80">
        <v>5.2774881283499901</v>
      </c>
      <c r="Z47" s="80"/>
      <c r="AA47" s="80"/>
      <c r="AB47" s="51">
        <f t="shared" si="3"/>
        <v>18.752415793083738</v>
      </c>
      <c r="AC47" s="216">
        <f t="shared" si="1"/>
        <v>1.9824750569049844E-2</v>
      </c>
    </row>
    <row r="48" spans="1:29" s="81" customFormat="1" ht="26.25" x14ac:dyDescent="0.25">
      <c r="A48" s="70">
        <v>46</v>
      </c>
      <c r="B48" s="71">
        <v>30046</v>
      </c>
      <c r="C48" s="72" t="s">
        <v>282</v>
      </c>
      <c r="D48" s="84" t="s">
        <v>754</v>
      </c>
      <c r="E48" s="69"/>
      <c r="F48" s="74">
        <f>14550353.7749023/10000</f>
        <v>1455.0353774902301</v>
      </c>
      <c r="G48" s="75" t="s">
        <v>11</v>
      </c>
      <c r="H48" s="76">
        <v>0</v>
      </c>
      <c r="I48" s="76">
        <v>0</v>
      </c>
      <c r="J48" s="76">
        <f t="shared" si="7"/>
        <v>0</v>
      </c>
      <c r="K48" s="36">
        <f>ZoneInondable2022!G490-X48</f>
        <v>508.53422233618574</v>
      </c>
      <c r="L48" s="36">
        <f>ZoneInondable2022!G493+X48</f>
        <v>17.194242763814298</v>
      </c>
      <c r="M48" s="302">
        <f>ZoneInondable2022!G154</f>
        <v>76.927480000000003</v>
      </c>
      <c r="N48" s="76"/>
      <c r="O48" s="76"/>
      <c r="P48" s="76"/>
      <c r="Q48" s="76">
        <f t="shared" si="2"/>
        <v>602.65594510000005</v>
      </c>
      <c r="R48" s="77">
        <f t="shared" si="0"/>
        <v>0.41418645513589697</v>
      </c>
      <c r="S48" s="324">
        <v>0.41501254588846309</v>
      </c>
      <c r="T48" s="78">
        <v>0</v>
      </c>
      <c r="U48" s="79">
        <v>0</v>
      </c>
      <c r="V48" s="80">
        <v>0</v>
      </c>
      <c r="W48" s="80">
        <v>496.32766354328703</v>
      </c>
      <c r="X48" s="80">
        <v>16.106577663814299</v>
      </c>
      <c r="Y48" s="80">
        <v>91.423695162900003</v>
      </c>
      <c r="Z48" s="80"/>
      <c r="AA48" s="80"/>
      <c r="AB48" s="51">
        <f t="shared" si="3"/>
        <v>603.85793637000131</v>
      </c>
      <c r="AC48" s="216">
        <f t="shared" si="1"/>
        <v>0.41501254588846309</v>
      </c>
    </row>
    <row r="49" spans="1:29" s="81" customFormat="1" x14ac:dyDescent="0.25">
      <c r="A49" s="70">
        <v>47</v>
      </c>
      <c r="B49" s="71">
        <v>30047</v>
      </c>
      <c r="C49" s="72" t="s">
        <v>84</v>
      </c>
      <c r="D49" s="84" t="s">
        <v>758</v>
      </c>
      <c r="E49" s="69"/>
      <c r="F49" s="74">
        <f>15921100.8076171/10000</f>
        <v>1592.1100807617099</v>
      </c>
      <c r="G49" s="75" t="s">
        <v>11</v>
      </c>
      <c r="H49" s="76">
        <v>0</v>
      </c>
      <c r="I49" s="76">
        <v>0</v>
      </c>
      <c r="J49" s="302">
        <f>ZoneInondable2022!G167</f>
        <v>2.4918745000000002</v>
      </c>
      <c r="K49" s="302">
        <f>ZoneInondable2022!G650</f>
        <v>70.256934999999999</v>
      </c>
      <c r="L49" s="302">
        <f>ZoneInondable2022!G563</f>
        <v>102.420586</v>
      </c>
      <c r="M49" s="302">
        <f>ZoneInondable2022!G33</f>
        <v>95.010490000000004</v>
      </c>
      <c r="N49" s="76"/>
      <c r="O49" s="76"/>
      <c r="P49" s="76"/>
      <c r="Q49" s="76">
        <f t="shared" si="2"/>
        <v>270.17988550000001</v>
      </c>
      <c r="R49" s="77">
        <f t="shared" si="0"/>
        <v>0.16969924929483418</v>
      </c>
      <c r="S49" s="324">
        <v>0.1655434742552031</v>
      </c>
      <c r="T49" s="78">
        <v>0</v>
      </c>
      <c r="U49" s="79">
        <v>0</v>
      </c>
      <c r="V49" s="80">
        <v>0</v>
      </c>
      <c r="W49" s="80">
        <v>66.881196175536402</v>
      </c>
      <c r="X49" s="80">
        <v>102.384498785489</v>
      </c>
      <c r="Y49" s="80">
        <v>94.297739204999999</v>
      </c>
      <c r="Z49" s="80"/>
      <c r="AA49" s="80"/>
      <c r="AB49" s="51">
        <f t="shared" si="3"/>
        <v>263.56343416602544</v>
      </c>
      <c r="AC49" s="216">
        <f t="shared" si="1"/>
        <v>0.1655434742552031</v>
      </c>
    </row>
    <row r="50" spans="1:29" s="81" customFormat="1" x14ac:dyDescent="0.25">
      <c r="A50" s="70">
        <v>48</v>
      </c>
      <c r="B50" s="71">
        <v>30048</v>
      </c>
      <c r="C50" s="72" t="s">
        <v>447</v>
      </c>
      <c r="D50" s="84" t="s">
        <v>765</v>
      </c>
      <c r="E50" s="69"/>
      <c r="F50" s="74">
        <f>30156047.1596679/10000</f>
        <v>3015.6047159667901</v>
      </c>
      <c r="G50" s="75" t="s">
        <v>11</v>
      </c>
      <c r="H50" s="76">
        <v>0</v>
      </c>
      <c r="I50" s="76">
        <v>0</v>
      </c>
      <c r="J50" s="76">
        <f t="shared" ref="J50:J61" si="8">V50/10000</f>
        <v>0</v>
      </c>
      <c r="K50" s="302">
        <f>ZoneInondable2022!G296</f>
        <v>48.867404999999998</v>
      </c>
      <c r="L50" s="302">
        <f>ZoneInondable2022!G631</f>
        <v>1.7144347</v>
      </c>
      <c r="M50" s="302">
        <f>ZoneInondable2022!G758</f>
        <v>9.0899800000000006</v>
      </c>
      <c r="N50" s="76"/>
      <c r="O50" s="76"/>
      <c r="P50" s="76"/>
      <c r="Q50" s="76">
        <f t="shared" si="2"/>
        <v>59.6718197</v>
      </c>
      <c r="R50" s="77">
        <f t="shared" si="0"/>
        <v>1.9787679527112516E-2</v>
      </c>
      <c r="S50" s="324">
        <v>2.0029615876004214E-2</v>
      </c>
      <c r="T50" s="78">
        <v>0</v>
      </c>
      <c r="U50" s="79">
        <v>0</v>
      </c>
      <c r="V50" s="80">
        <v>0</v>
      </c>
      <c r="W50" s="80">
        <v>49.637401879481601</v>
      </c>
      <c r="X50" s="80">
        <v>1.7007988386399999</v>
      </c>
      <c r="Y50" s="80">
        <v>9.0632033765600006</v>
      </c>
      <c r="Z50" s="80"/>
      <c r="AA50" s="80"/>
      <c r="AB50" s="51">
        <f t="shared" si="3"/>
        <v>60.401404094681595</v>
      </c>
      <c r="AC50" s="216">
        <f t="shared" si="1"/>
        <v>2.0029615876004214E-2</v>
      </c>
    </row>
    <row r="51" spans="1:29" s="81" customFormat="1" ht="18" customHeight="1" x14ac:dyDescent="0.25">
      <c r="A51" s="70">
        <v>49</v>
      </c>
      <c r="B51" s="71">
        <v>30049</v>
      </c>
      <c r="C51" s="72" t="s">
        <v>146</v>
      </c>
      <c r="D51" s="84" t="s">
        <v>754</v>
      </c>
      <c r="E51" s="69"/>
      <c r="F51" s="74">
        <f>7293313.24267578/10000</f>
        <v>729.331324267578</v>
      </c>
      <c r="G51" s="75" t="s">
        <v>11</v>
      </c>
      <c r="H51" s="76">
        <v>0</v>
      </c>
      <c r="I51" s="76">
        <v>0</v>
      </c>
      <c r="J51" s="76">
        <f t="shared" si="8"/>
        <v>0</v>
      </c>
      <c r="K51" s="302">
        <f>ZoneInondable2022!G92</f>
        <v>122.28022</v>
      </c>
      <c r="L51" s="302">
        <f>ZoneInondable2022!G69</f>
        <v>127.79525</v>
      </c>
      <c r="M51" s="302">
        <f>ZoneInondable2022!G165</f>
        <v>37.271202000000002</v>
      </c>
      <c r="N51" s="76"/>
      <c r="O51" s="76"/>
      <c r="P51" s="76"/>
      <c r="Q51" s="76">
        <f t="shared" si="2"/>
        <v>287.34667200000001</v>
      </c>
      <c r="R51" s="77">
        <f t="shared" si="0"/>
        <v>0.39398646738307086</v>
      </c>
      <c r="S51" s="324">
        <v>0.39621969245623728</v>
      </c>
      <c r="T51" s="78">
        <v>0</v>
      </c>
      <c r="U51" s="79">
        <v>0</v>
      </c>
      <c r="V51" s="80">
        <v>0</v>
      </c>
      <c r="W51" s="80">
        <v>123.59380940000003</v>
      </c>
      <c r="X51" s="80">
        <v>128.38106529999999</v>
      </c>
      <c r="Y51" s="80">
        <v>37.000558300000002</v>
      </c>
      <c r="Z51" s="80"/>
      <c r="AA51" s="80"/>
      <c r="AB51" s="51">
        <f t="shared" si="3"/>
        <v>288.97543300000001</v>
      </c>
      <c r="AC51" s="216">
        <f t="shared" si="1"/>
        <v>0.39621969245623728</v>
      </c>
    </row>
    <row r="52" spans="1:29" s="28" customFormat="1" x14ac:dyDescent="0.25">
      <c r="A52" s="17">
        <v>50</v>
      </c>
      <c r="B52" s="18">
        <v>30050</v>
      </c>
      <c r="C52" s="19" t="s">
        <v>685</v>
      </c>
      <c r="D52" s="20" t="s">
        <v>755</v>
      </c>
      <c r="E52" s="21"/>
      <c r="F52" s="22">
        <f>7685132.32421875/10000</f>
        <v>768.51323242187505</v>
      </c>
      <c r="G52" s="23" t="s">
        <v>761</v>
      </c>
      <c r="H52" s="302">
        <f>ZoneInondable2022!G737</f>
        <v>13.066839</v>
      </c>
      <c r="I52" s="302">
        <f>ZoneInondable2022!G826</f>
        <v>1.7269728</v>
      </c>
      <c r="J52" s="24">
        <f t="shared" si="8"/>
        <v>0</v>
      </c>
      <c r="K52" s="24">
        <f>W52/10000</f>
        <v>0</v>
      </c>
      <c r="L52" s="24">
        <f>X52/10000</f>
        <v>0</v>
      </c>
      <c r="M52" s="24">
        <f>Y52/10000</f>
        <v>0</v>
      </c>
      <c r="N52" s="24"/>
      <c r="O52" s="24"/>
      <c r="P52" s="24"/>
      <c r="Q52" s="24">
        <f t="shared" si="2"/>
        <v>14.7938118</v>
      </c>
      <c r="R52" s="85">
        <f t="shared" si="0"/>
        <v>1.9249911616198358E-2</v>
      </c>
      <c r="S52" s="324">
        <v>2.0445389712346038E-2</v>
      </c>
      <c r="T52" s="25">
        <v>13.985579860400001</v>
      </c>
      <c r="U52" s="26">
        <v>1.7269726755600001</v>
      </c>
      <c r="V52" s="27">
        <v>0</v>
      </c>
      <c r="W52" s="27">
        <v>0</v>
      </c>
      <c r="X52" s="27">
        <v>0</v>
      </c>
      <c r="Y52" s="27">
        <v>0</v>
      </c>
      <c r="Z52" s="27"/>
      <c r="AA52" s="27"/>
      <c r="AB52" s="160">
        <f t="shared" si="3"/>
        <v>15.712552535960002</v>
      </c>
      <c r="AC52" s="216">
        <f t="shared" si="1"/>
        <v>2.0445389712346038E-2</v>
      </c>
    </row>
    <row r="53" spans="1:29" s="81" customFormat="1" ht="26.25" x14ac:dyDescent="0.25">
      <c r="A53" s="70">
        <v>51</v>
      </c>
      <c r="B53" s="71">
        <v>30051</v>
      </c>
      <c r="C53" s="72" t="s">
        <v>133</v>
      </c>
      <c r="D53" s="84" t="s">
        <v>754</v>
      </c>
      <c r="E53" s="69"/>
      <c r="F53" s="74">
        <f>15034553.9697265/10000</f>
        <v>1503.4553969726499</v>
      </c>
      <c r="G53" s="75" t="s">
        <v>11</v>
      </c>
      <c r="H53" s="76">
        <v>0</v>
      </c>
      <c r="I53" s="76">
        <v>0</v>
      </c>
      <c r="J53" s="76">
        <f t="shared" si="8"/>
        <v>0</v>
      </c>
      <c r="K53" s="302">
        <f>ZoneInondable2022!G417</f>
        <v>75.420330000000007</v>
      </c>
      <c r="L53" s="302">
        <f>ZoneInondable2022!G356</f>
        <v>5.6358385000000002</v>
      </c>
      <c r="M53" s="302">
        <f>ZoneInondable2022!G62</f>
        <v>26.552744000000001</v>
      </c>
      <c r="N53" s="76"/>
      <c r="O53" s="76"/>
      <c r="P53" s="76"/>
      <c r="Q53" s="76">
        <f t="shared" si="2"/>
        <v>107.60891250000002</v>
      </c>
      <c r="R53" s="77">
        <f t="shared" si="0"/>
        <v>7.1574396364987469E-2</v>
      </c>
      <c r="S53" s="324">
        <v>6.9608128850864343E-2</v>
      </c>
      <c r="T53" s="78">
        <v>0</v>
      </c>
      <c r="U53" s="79">
        <v>0</v>
      </c>
      <c r="V53" s="80">
        <v>0</v>
      </c>
      <c r="W53" s="80">
        <v>72.043233728143804</v>
      </c>
      <c r="X53" s="80">
        <v>5.66534090555579</v>
      </c>
      <c r="Y53" s="80">
        <v>26.944142360299999</v>
      </c>
      <c r="Z53" s="80"/>
      <c r="AA53" s="80"/>
      <c r="AB53" s="51">
        <f t="shared" si="3"/>
        <v>104.6527169939996</v>
      </c>
      <c r="AC53" s="216">
        <f t="shared" si="1"/>
        <v>6.9608128850864343E-2</v>
      </c>
    </row>
    <row r="54" spans="1:29" s="28" customFormat="1" ht="17.25" customHeight="1" x14ac:dyDescent="0.25">
      <c r="A54" s="17">
        <v>52</v>
      </c>
      <c r="B54" s="18">
        <v>30052</v>
      </c>
      <c r="C54" s="19" t="s">
        <v>437</v>
      </c>
      <c r="D54" s="20" t="s">
        <v>770</v>
      </c>
      <c r="E54" s="21" t="s">
        <v>771</v>
      </c>
      <c r="F54" s="22">
        <f>28514882.8637695/10000</f>
        <v>2851.4882863769503</v>
      </c>
      <c r="G54" s="23" t="s">
        <v>761</v>
      </c>
      <c r="H54" s="302">
        <f>ZoneInondable2022!G284</f>
        <v>99.508933999999996</v>
      </c>
      <c r="I54" s="24">
        <v>0</v>
      </c>
      <c r="J54" s="24">
        <f t="shared" si="8"/>
        <v>0</v>
      </c>
      <c r="K54" s="24">
        <f>W54/10000</f>
        <v>0</v>
      </c>
      <c r="L54" s="24">
        <f>X54/10000</f>
        <v>0</v>
      </c>
      <c r="M54" s="24">
        <f>Y54/10000</f>
        <v>0</v>
      </c>
      <c r="N54" s="24"/>
      <c r="O54" s="24"/>
      <c r="P54" s="24"/>
      <c r="Q54" s="24">
        <f t="shared" si="2"/>
        <v>99.508933999999996</v>
      </c>
      <c r="R54" s="85">
        <f t="shared" si="0"/>
        <v>3.489719192444387E-2</v>
      </c>
      <c r="S54" s="324">
        <v>3.6297464084801667E-2</v>
      </c>
      <c r="T54" s="25">
        <v>103.501793663</v>
      </c>
      <c r="U54" s="26">
        <v>0</v>
      </c>
      <c r="V54" s="27">
        <v>0</v>
      </c>
      <c r="W54" s="27">
        <v>0</v>
      </c>
      <c r="X54" s="27">
        <v>0</v>
      </c>
      <c r="Y54" s="27">
        <v>0</v>
      </c>
      <c r="Z54" s="27"/>
      <c r="AA54" s="27"/>
      <c r="AB54" s="160">
        <f t="shared" si="3"/>
        <v>103.501793663</v>
      </c>
      <c r="AC54" s="216">
        <f t="shared" si="1"/>
        <v>3.6297464084801667E-2</v>
      </c>
    </row>
    <row r="55" spans="1:29" s="81" customFormat="1" x14ac:dyDescent="0.25">
      <c r="A55" s="70">
        <v>53</v>
      </c>
      <c r="B55" s="71">
        <v>30053</v>
      </c>
      <c r="C55" s="72" t="s">
        <v>552</v>
      </c>
      <c r="D55" s="84" t="s">
        <v>754</v>
      </c>
      <c r="E55" s="69"/>
      <c r="F55" s="74">
        <f>6795653.29443359/10000</f>
        <v>679.56532944335902</v>
      </c>
      <c r="G55" s="75" t="s">
        <v>11</v>
      </c>
      <c r="H55" s="76">
        <v>0</v>
      </c>
      <c r="I55" s="76">
        <v>0</v>
      </c>
      <c r="J55" s="76">
        <f t="shared" si="8"/>
        <v>0</v>
      </c>
      <c r="K55" s="36">
        <f>ZoneInondable2022!G466-X55</f>
        <v>348.63444498849174</v>
      </c>
      <c r="L55" s="36">
        <f>ZoneInondable2022!G813+X55</f>
        <v>28.1843828115083</v>
      </c>
      <c r="M55" s="302">
        <f>ZoneInondable2022!G529</f>
        <v>14.986929</v>
      </c>
      <c r="N55" s="76"/>
      <c r="O55" s="76"/>
      <c r="P55" s="76"/>
      <c r="Q55" s="76">
        <f t="shared" si="2"/>
        <v>391.80575679999998</v>
      </c>
      <c r="R55" s="77">
        <f t="shared" si="0"/>
        <v>0.57655348179833321</v>
      </c>
      <c r="S55" s="324">
        <v>0.57686326232836505</v>
      </c>
      <c r="T55" s="78">
        <v>0</v>
      </c>
      <c r="U55" s="79">
        <v>0</v>
      </c>
      <c r="V55" s="80">
        <v>0</v>
      </c>
      <c r="W55" s="80">
        <v>348.761594465038</v>
      </c>
      <c r="X55" s="80">
        <v>24.302015011508299</v>
      </c>
      <c r="Y55" s="80">
        <v>18.952663431399998</v>
      </c>
      <c r="Z55" s="80"/>
      <c r="AA55" s="80"/>
      <c r="AB55" s="51">
        <f t="shared" si="3"/>
        <v>392.01627290794625</v>
      </c>
      <c r="AC55" s="216">
        <f t="shared" si="1"/>
        <v>0.57686326232836505</v>
      </c>
    </row>
    <row r="56" spans="1:29" s="81" customFormat="1" ht="26.25" x14ac:dyDescent="0.25">
      <c r="A56" s="70">
        <v>54</v>
      </c>
      <c r="B56" s="71">
        <v>30055</v>
      </c>
      <c r="C56" s="72" t="s">
        <v>264</v>
      </c>
      <c r="D56" s="84" t="s">
        <v>765</v>
      </c>
      <c r="E56" s="69"/>
      <c r="F56" s="74">
        <f>13103621.8867187/10000</f>
        <v>1310.3621886718699</v>
      </c>
      <c r="G56" s="75" t="s">
        <v>11</v>
      </c>
      <c r="H56" s="76">
        <v>0</v>
      </c>
      <c r="I56" s="76">
        <v>0</v>
      </c>
      <c r="J56" s="76">
        <f t="shared" si="8"/>
        <v>0</v>
      </c>
      <c r="K56" s="302">
        <f>ZoneInondable2022!G143</f>
        <v>63.236713000000002</v>
      </c>
      <c r="L56" s="302">
        <f>ZoneInondable2022!G195</f>
        <v>18.876774000000001</v>
      </c>
      <c r="M56" s="302">
        <f>ZoneInondable2022!G687</f>
        <v>25.573509999999999</v>
      </c>
      <c r="N56" s="76"/>
      <c r="O56" s="76"/>
      <c r="P56" s="76"/>
      <c r="Q56" s="76">
        <f t="shared" si="2"/>
        <v>107.68699700000001</v>
      </c>
      <c r="R56" s="77">
        <f t="shared" si="0"/>
        <v>8.2181093083239218E-2</v>
      </c>
      <c r="S56" s="324">
        <v>8.9252680439543194E-2</v>
      </c>
      <c r="T56" s="78">
        <v>0</v>
      </c>
      <c r="U56" s="79">
        <v>0</v>
      </c>
      <c r="V56" s="80">
        <v>0</v>
      </c>
      <c r="W56" s="80">
        <v>64.875039913427798</v>
      </c>
      <c r="X56" s="80">
        <v>18.855297657703002</v>
      </c>
      <c r="Y56" s="80">
        <v>33.22300011446</v>
      </c>
      <c r="Z56" s="80"/>
      <c r="AA56" s="80"/>
      <c r="AB56" s="51">
        <f t="shared" si="3"/>
        <v>116.95333768559081</v>
      </c>
      <c r="AC56" s="216">
        <f t="shared" si="1"/>
        <v>8.9252680439543194E-2</v>
      </c>
    </row>
    <row r="57" spans="1:29" s="81" customFormat="1" ht="26.25" x14ac:dyDescent="0.25">
      <c r="A57" s="70">
        <v>55</v>
      </c>
      <c r="B57" s="71">
        <v>30054</v>
      </c>
      <c r="C57" s="72" t="s">
        <v>516</v>
      </c>
      <c r="D57" s="84" t="s">
        <v>755</v>
      </c>
      <c r="E57" s="69"/>
      <c r="F57" s="74">
        <f>15865312.7441406/10000</f>
        <v>1586.5312744140601</v>
      </c>
      <c r="G57" s="75" t="s">
        <v>11</v>
      </c>
      <c r="H57" s="76">
        <v>0</v>
      </c>
      <c r="I57" s="76">
        <v>0</v>
      </c>
      <c r="J57" s="76">
        <f t="shared" si="8"/>
        <v>0</v>
      </c>
      <c r="K57" s="302">
        <f>ZoneInondable2022!G491</f>
        <v>120.50077</v>
      </c>
      <c r="L57" s="302">
        <f>ZoneInondable2022!G422</f>
        <v>2.1561539999999999</v>
      </c>
      <c r="M57" s="302">
        <f>ZoneInondable2022!G387</f>
        <v>34.713430000000002</v>
      </c>
      <c r="N57" s="76"/>
      <c r="O57" s="76"/>
      <c r="P57" s="76"/>
      <c r="Q57" s="76">
        <f t="shared" si="2"/>
        <v>157.37035400000002</v>
      </c>
      <c r="R57" s="77">
        <f t="shared" si="0"/>
        <v>9.9191460349951341E-2</v>
      </c>
      <c r="S57" s="324">
        <v>9.9476079711635676E-2</v>
      </c>
      <c r="T57" s="78">
        <v>0</v>
      </c>
      <c r="U57" s="79">
        <v>0</v>
      </c>
      <c r="V57" s="80">
        <v>0</v>
      </c>
      <c r="W57" s="80">
        <v>121.23122331899501</v>
      </c>
      <c r="X57" s="80">
        <v>2.1557099260800001</v>
      </c>
      <c r="Y57" s="80">
        <v>34.434978273540999</v>
      </c>
      <c r="Z57" s="80"/>
      <c r="AA57" s="80"/>
      <c r="AB57" s="51">
        <f t="shared" si="3"/>
        <v>157.82191151861599</v>
      </c>
      <c r="AC57" s="216">
        <f t="shared" si="1"/>
        <v>9.9476079711635676E-2</v>
      </c>
    </row>
    <row r="58" spans="1:29" s="81" customFormat="1" ht="15" customHeight="1" x14ac:dyDescent="0.25">
      <c r="A58" s="70">
        <v>56</v>
      </c>
      <c r="B58" s="71">
        <v>30056</v>
      </c>
      <c r="C58" s="72" t="s">
        <v>70</v>
      </c>
      <c r="D58" s="84" t="s">
        <v>765</v>
      </c>
      <c r="E58" s="69"/>
      <c r="F58" s="74">
        <f>16489990.395996/10000</f>
        <v>1648.9990395996001</v>
      </c>
      <c r="G58" s="75" t="s">
        <v>11</v>
      </c>
      <c r="H58" s="76">
        <v>0</v>
      </c>
      <c r="I58" s="76">
        <v>0</v>
      </c>
      <c r="J58" s="76">
        <f t="shared" si="8"/>
        <v>0</v>
      </c>
      <c r="K58" s="302">
        <f>ZoneInondable2022!G239</f>
        <v>61.629379999999998</v>
      </c>
      <c r="L58" s="302">
        <f>ZoneInondable2022!G418</f>
        <v>29.817936</v>
      </c>
      <c r="M58" s="302">
        <f>ZoneInondable2022!G27</f>
        <v>17.753408</v>
      </c>
      <c r="N58" s="76"/>
      <c r="O58" s="76"/>
      <c r="P58" s="76"/>
      <c r="Q58" s="76">
        <f t="shared" si="2"/>
        <v>109.20072400000001</v>
      </c>
      <c r="R58" s="88">
        <f t="shared" si="0"/>
        <v>6.6222430321436362E-2</v>
      </c>
      <c r="S58" s="324">
        <v>8.3128199014163469E-3</v>
      </c>
      <c r="T58" s="78">
        <v>13.707832033799999</v>
      </c>
      <c r="U58" s="79">
        <v>0</v>
      </c>
      <c r="V58" s="80">
        <v>0</v>
      </c>
      <c r="W58" s="80">
        <v>0</v>
      </c>
      <c r="X58" s="80">
        <v>0</v>
      </c>
      <c r="Y58" s="80">
        <v>0</v>
      </c>
      <c r="Z58" s="80"/>
      <c r="AA58" s="80"/>
      <c r="AB58" s="51">
        <f t="shared" si="3"/>
        <v>13.707832033799999</v>
      </c>
      <c r="AC58" s="216">
        <f t="shared" si="1"/>
        <v>8.3128199014163469E-3</v>
      </c>
    </row>
    <row r="59" spans="1:29" s="81" customFormat="1" x14ac:dyDescent="0.25">
      <c r="A59" s="70">
        <v>57</v>
      </c>
      <c r="B59" s="71">
        <v>30057</v>
      </c>
      <c r="C59" s="72" t="s">
        <v>584</v>
      </c>
      <c r="D59" s="84" t="s">
        <v>754</v>
      </c>
      <c r="E59" s="69" t="s">
        <v>779</v>
      </c>
      <c r="F59" s="74">
        <f>14880685.5961914/10000</f>
        <v>1488.0685596191402</v>
      </c>
      <c r="G59" s="75" t="s">
        <v>11</v>
      </c>
      <c r="H59" s="76">
        <v>0</v>
      </c>
      <c r="I59" s="76">
        <v>0</v>
      </c>
      <c r="J59" s="76">
        <f t="shared" si="8"/>
        <v>0</v>
      </c>
      <c r="K59" s="302">
        <f>ZoneInondable2022!G859</f>
        <v>20.432456999999999</v>
      </c>
      <c r="L59" s="302">
        <f>ZoneInondable2022!G559</f>
        <v>0.23714160000000001</v>
      </c>
      <c r="M59" s="302">
        <f>ZoneInondable2022!G645</f>
        <v>26.292048000000001</v>
      </c>
      <c r="N59" s="76"/>
      <c r="O59" s="76"/>
      <c r="P59" s="76"/>
      <c r="Q59" s="76">
        <f t="shared" si="2"/>
        <v>46.961646600000002</v>
      </c>
      <c r="R59" s="77">
        <f t="shared" si="0"/>
        <v>3.1558792299206613E-2</v>
      </c>
      <c r="S59" s="324">
        <v>3.2424540579156717E-2</v>
      </c>
      <c r="T59" s="78">
        <v>0</v>
      </c>
      <c r="U59" s="79">
        <v>0</v>
      </c>
      <c r="V59" s="80">
        <v>0</v>
      </c>
      <c r="W59" s="80">
        <v>21.376723086634101</v>
      </c>
      <c r="X59" s="80">
        <v>0.27876172300399998</v>
      </c>
      <c r="Y59" s="80">
        <v>26.594454586299999</v>
      </c>
      <c r="Z59" s="80"/>
      <c r="AA59" s="80"/>
      <c r="AB59" s="51">
        <f t="shared" si="3"/>
        <v>48.2499393959381</v>
      </c>
      <c r="AC59" s="216">
        <f t="shared" si="1"/>
        <v>3.2424540579156717E-2</v>
      </c>
    </row>
    <row r="60" spans="1:29" s="33" customFormat="1" ht="26.25" x14ac:dyDescent="0.25">
      <c r="A60" s="30">
        <v>58</v>
      </c>
      <c r="B60" s="18">
        <v>30058</v>
      </c>
      <c r="C60" s="19" t="s">
        <v>705</v>
      </c>
      <c r="D60" s="20" t="s">
        <v>755</v>
      </c>
      <c r="E60" s="21"/>
      <c r="F60" s="22">
        <f>11942356.6723632/10000</f>
        <v>1194.2356672363198</v>
      </c>
      <c r="G60" s="23" t="s">
        <v>761</v>
      </c>
      <c r="H60" s="302">
        <f>ZoneInondable2022!G781</f>
        <v>43.613970000000002</v>
      </c>
      <c r="I60" s="24">
        <v>0</v>
      </c>
      <c r="J60" s="24">
        <f t="shared" si="8"/>
        <v>0</v>
      </c>
      <c r="K60" s="24">
        <f>W60/10000</f>
        <v>0</v>
      </c>
      <c r="L60" s="24">
        <f>X60/10000</f>
        <v>0</v>
      </c>
      <c r="M60" s="24">
        <f>Y60/10000</f>
        <v>0</v>
      </c>
      <c r="N60" s="24"/>
      <c r="O60" s="24"/>
      <c r="P60" s="24"/>
      <c r="Q60" s="24">
        <f t="shared" si="2"/>
        <v>43.613970000000002</v>
      </c>
      <c r="R60" s="88">
        <f t="shared" si="0"/>
        <v>3.652040480496678E-2</v>
      </c>
      <c r="S60" s="324">
        <v>1.4386003428358753E-3</v>
      </c>
      <c r="T60" s="31">
        <v>1.718027840313</v>
      </c>
      <c r="U60" s="24">
        <v>0</v>
      </c>
      <c r="V60" s="32">
        <v>0</v>
      </c>
      <c r="W60" s="32">
        <v>0</v>
      </c>
      <c r="X60" s="32">
        <v>0</v>
      </c>
      <c r="Y60" s="32">
        <v>0</v>
      </c>
      <c r="Z60" s="32"/>
      <c r="AA60" s="32"/>
      <c r="AB60" s="160">
        <f t="shared" si="3"/>
        <v>1.718027840313</v>
      </c>
      <c r="AC60" s="216">
        <f t="shared" si="1"/>
        <v>1.4386003428358753E-3</v>
      </c>
    </row>
    <row r="61" spans="1:29" s="28" customFormat="1" ht="15" customHeight="1" x14ac:dyDescent="0.25">
      <c r="A61" s="17">
        <v>59</v>
      </c>
      <c r="B61" s="18">
        <v>30059</v>
      </c>
      <c r="C61" s="19" t="s">
        <v>32</v>
      </c>
      <c r="D61" s="20" t="s">
        <v>758</v>
      </c>
      <c r="E61" s="34" t="s">
        <v>780</v>
      </c>
      <c r="F61" s="22">
        <f>30405770.5673828/10000</f>
        <v>3040.5770567382801</v>
      </c>
      <c r="G61" s="23" t="s">
        <v>761</v>
      </c>
      <c r="H61" s="302">
        <f>ZoneInondable2022!G9</f>
        <v>2155.9513999999999</v>
      </c>
      <c r="I61" s="302">
        <f>ZoneInondable2022!G676</f>
        <v>111.80918</v>
      </c>
      <c r="J61" s="24">
        <f t="shared" si="8"/>
        <v>0</v>
      </c>
      <c r="K61" s="24">
        <v>0</v>
      </c>
      <c r="L61" s="24">
        <v>0</v>
      </c>
      <c r="M61" s="24">
        <v>0</v>
      </c>
      <c r="N61" s="24"/>
      <c r="O61" s="24"/>
      <c r="P61" s="24"/>
      <c r="Q61" s="24">
        <f t="shared" si="2"/>
        <v>2267.7605800000001</v>
      </c>
      <c r="R61" s="85">
        <f t="shared" si="0"/>
        <v>0.7458323001465702</v>
      </c>
      <c r="S61" s="324">
        <v>0.75479583212899237</v>
      </c>
      <c r="T61" s="25">
        <v>1646.49316325324</v>
      </c>
      <c r="U61" s="26">
        <v>112.701946102574</v>
      </c>
      <c r="V61" s="27">
        <v>0</v>
      </c>
      <c r="W61" s="27">
        <v>534.25239505822697</v>
      </c>
      <c r="X61" s="27">
        <v>1.5399513864099998</v>
      </c>
      <c r="Y61" s="27">
        <v>2.7433892641800003E-2</v>
      </c>
      <c r="Z61" s="27"/>
      <c r="AA61" s="27"/>
      <c r="AB61" s="160">
        <f t="shared" si="3"/>
        <v>2295.0148896930928</v>
      </c>
      <c r="AC61" s="216">
        <f t="shared" si="1"/>
        <v>0.75479583212899237</v>
      </c>
    </row>
    <row r="62" spans="1:29" s="81" customFormat="1" x14ac:dyDescent="0.25">
      <c r="A62" s="70">
        <v>60</v>
      </c>
      <c r="B62" s="71">
        <v>30060</v>
      </c>
      <c r="C62" s="72" t="s">
        <v>520</v>
      </c>
      <c r="D62" s="84" t="s">
        <v>758</v>
      </c>
      <c r="E62" s="69"/>
      <c r="F62" s="74">
        <f>8549759.43359375/10000</f>
        <v>854.97594335937504</v>
      </c>
      <c r="G62" s="75" t="s">
        <v>11</v>
      </c>
      <c r="H62" s="76">
        <v>0</v>
      </c>
      <c r="I62" s="76">
        <v>0</v>
      </c>
      <c r="J62" s="302">
        <f>ZoneInondable2022!G575</f>
        <v>3.2613750000000001</v>
      </c>
      <c r="K62" s="302">
        <f>ZoneInondable2022!G396</f>
        <v>126.01585</v>
      </c>
      <c r="L62" s="302">
        <f>ZoneInondable2022!G701</f>
        <v>45.967219999999998</v>
      </c>
      <c r="M62" s="302">
        <f>ZoneInondable2022!G460</f>
        <v>51.391419999999997</v>
      </c>
      <c r="N62" s="76"/>
      <c r="O62" s="76"/>
      <c r="P62" s="76"/>
      <c r="Q62" s="76">
        <f t="shared" si="2"/>
        <v>226.63586499999997</v>
      </c>
      <c r="R62" s="77">
        <f t="shared" si="0"/>
        <v>0.26507864549907845</v>
      </c>
      <c r="S62" s="324">
        <v>0.25308587404237343</v>
      </c>
      <c r="T62" s="78">
        <v>0</v>
      </c>
      <c r="U62" s="79">
        <v>0</v>
      </c>
      <c r="V62" s="80">
        <v>0</v>
      </c>
      <c r="W62" s="80">
        <v>120.40410755983</v>
      </c>
      <c r="X62" s="80">
        <v>44.893610140280195</v>
      </c>
      <c r="Y62" s="80">
        <v>51.084616210199997</v>
      </c>
      <c r="Z62" s="80"/>
      <c r="AA62" s="80"/>
      <c r="AB62" s="51">
        <f t="shared" si="3"/>
        <v>216.38233391031019</v>
      </c>
      <c r="AC62" s="216">
        <f t="shared" si="1"/>
        <v>0.25308587404237343</v>
      </c>
    </row>
    <row r="63" spans="1:29" s="81" customFormat="1" x14ac:dyDescent="0.25">
      <c r="A63" s="70">
        <v>61</v>
      </c>
      <c r="B63" s="71">
        <v>30061</v>
      </c>
      <c r="C63" s="72" t="s">
        <v>220</v>
      </c>
      <c r="D63" s="84" t="s">
        <v>754</v>
      </c>
      <c r="E63" s="69"/>
      <c r="F63" s="74">
        <f>11202834.1904296/10000</f>
        <v>1120.2834190429601</v>
      </c>
      <c r="G63" s="75" t="s">
        <v>11</v>
      </c>
      <c r="H63" s="76">
        <v>0</v>
      </c>
      <c r="I63" s="76">
        <v>0</v>
      </c>
      <c r="J63" s="302">
        <f>ZoneInondable2022!G805</f>
        <v>2.9045050999999999E-2</v>
      </c>
      <c r="K63" s="302">
        <f>ZoneInondable2022!G461</f>
        <v>513.29079999999999</v>
      </c>
      <c r="L63" s="302">
        <f>ZoneInondable2022!G751</f>
        <v>17.151653</v>
      </c>
      <c r="M63" s="302">
        <f>ZoneInondable2022!G115</f>
        <v>42.919888</v>
      </c>
      <c r="N63" s="76"/>
      <c r="O63" s="76"/>
      <c r="P63" s="76"/>
      <c r="Q63" s="76">
        <f t="shared" si="2"/>
        <v>573.39138605100004</v>
      </c>
      <c r="R63" s="77">
        <f t="shared" si="0"/>
        <v>0.51182707545635098</v>
      </c>
      <c r="S63" s="324">
        <v>0.5086684439137974</v>
      </c>
      <c r="T63" s="78">
        <v>0</v>
      </c>
      <c r="U63" s="79">
        <v>0</v>
      </c>
      <c r="V63" s="80">
        <v>0</v>
      </c>
      <c r="W63" s="80">
        <v>471.46261745774001</v>
      </c>
      <c r="X63" s="80">
        <v>49.513749416171002</v>
      </c>
      <c r="Y63" s="80">
        <v>48.876456633099998</v>
      </c>
      <c r="Z63" s="80"/>
      <c r="AA63" s="80"/>
      <c r="AB63" s="51">
        <f t="shared" si="3"/>
        <v>569.85282350701107</v>
      </c>
      <c r="AC63" s="216">
        <f t="shared" si="1"/>
        <v>0.5086684439137974</v>
      </c>
    </row>
    <row r="64" spans="1:29" s="81" customFormat="1" x14ac:dyDescent="0.25">
      <c r="A64" s="70">
        <v>62</v>
      </c>
      <c r="B64" s="71">
        <v>30062</v>
      </c>
      <c r="C64" s="72" t="s">
        <v>45</v>
      </c>
      <c r="D64" s="84" t="s">
        <v>758</v>
      </c>
      <c r="E64" s="69" t="s">
        <v>759</v>
      </c>
      <c r="F64" s="74">
        <f>28914861.755371/10000</f>
        <v>2891.4861755371003</v>
      </c>
      <c r="G64" s="75" t="s">
        <v>11</v>
      </c>
      <c r="H64" s="76">
        <v>0</v>
      </c>
      <c r="I64" s="76">
        <v>0</v>
      </c>
      <c r="J64" s="76">
        <f t="shared" ref="J64:J75" si="9">V64/10000</f>
        <v>0</v>
      </c>
      <c r="K64" s="302">
        <f>ZoneInondable2022!G14</f>
        <v>291.20047</v>
      </c>
      <c r="L64" s="302">
        <f>ZoneInondable2022!G456</f>
        <v>315.63213999999999</v>
      </c>
      <c r="M64" s="302">
        <f>ZoneInondable2022!G424</f>
        <v>266.05878000000001</v>
      </c>
      <c r="N64" s="76"/>
      <c r="O64" s="76"/>
      <c r="Q64" s="76">
        <f>SUM(H64:O64)</f>
        <v>872.89139</v>
      </c>
      <c r="R64" s="77">
        <f t="shared" si="0"/>
        <v>0.30188330049264661</v>
      </c>
      <c r="S64" s="324">
        <v>0.31766205132534786</v>
      </c>
      <c r="T64" s="78">
        <v>0</v>
      </c>
      <c r="U64" s="79">
        <v>0</v>
      </c>
      <c r="V64" s="80">
        <v>0</v>
      </c>
      <c r="W64" s="80">
        <v>291.31893009999999</v>
      </c>
      <c r="X64" s="80">
        <v>314.31499840000004</v>
      </c>
      <c r="Y64" s="80">
        <v>265.82065560000001</v>
      </c>
      <c r="Z64" s="80">
        <v>47.060845799999996</v>
      </c>
      <c r="AA64" s="80"/>
      <c r="AB64" s="51">
        <f t="shared" si="3"/>
        <v>918.51542990000007</v>
      </c>
      <c r="AC64" s="216">
        <f t="shared" si="1"/>
        <v>0.31766205132534786</v>
      </c>
    </row>
    <row r="65" spans="1:29" s="28" customFormat="1" ht="26.25" x14ac:dyDescent="0.25">
      <c r="A65" s="17">
        <v>63</v>
      </c>
      <c r="B65" s="18">
        <v>30064</v>
      </c>
      <c r="C65" s="19" t="s">
        <v>782</v>
      </c>
      <c r="D65" s="20" t="s">
        <v>766</v>
      </c>
      <c r="E65" s="21"/>
      <c r="F65" s="22">
        <f>37946632.0185546/10000</f>
        <v>3794.6632018554596</v>
      </c>
      <c r="G65" s="23" t="s">
        <v>761</v>
      </c>
      <c r="H65" s="302">
        <f>ZoneInondable2022!G250</f>
        <v>48.997070000000001</v>
      </c>
      <c r="I65" s="24">
        <v>0</v>
      </c>
      <c r="J65" s="24">
        <f t="shared" si="9"/>
        <v>0</v>
      </c>
      <c r="K65" s="24">
        <f t="shared" ref="K65:M66" si="10">W65/10000</f>
        <v>0</v>
      </c>
      <c r="L65" s="24">
        <f t="shared" si="10"/>
        <v>0</v>
      </c>
      <c r="M65" s="24">
        <f t="shared" si="10"/>
        <v>0</v>
      </c>
      <c r="N65" s="24"/>
      <c r="O65" s="24"/>
      <c r="P65" s="24"/>
      <c r="Q65" s="24">
        <f t="shared" si="2"/>
        <v>48.997070000000001</v>
      </c>
      <c r="R65" s="85">
        <f t="shared" si="0"/>
        <v>1.2912099807972977E-2</v>
      </c>
      <c r="S65" s="324">
        <v>6.9672510513377178E-3</v>
      </c>
      <c r="T65" s="25">
        <v>26.438371182600001</v>
      </c>
      <c r="U65" s="26">
        <v>0</v>
      </c>
      <c r="V65" s="27">
        <v>0</v>
      </c>
      <c r="W65" s="27">
        <v>0</v>
      </c>
      <c r="X65" s="27">
        <v>0</v>
      </c>
      <c r="Y65" s="27">
        <v>0</v>
      </c>
      <c r="Z65" s="27"/>
      <c r="AA65" s="27"/>
      <c r="AB65" s="160">
        <f t="shared" si="3"/>
        <v>26.438371182600001</v>
      </c>
      <c r="AC65" s="216">
        <f t="shared" si="1"/>
        <v>6.9672510513377178E-3</v>
      </c>
    </row>
    <row r="66" spans="1:29" s="28" customFormat="1" ht="26.25" x14ac:dyDescent="0.25">
      <c r="A66" s="17">
        <v>64</v>
      </c>
      <c r="B66" s="18">
        <v>30065</v>
      </c>
      <c r="C66" s="19" t="s">
        <v>506</v>
      </c>
      <c r="D66" s="20" t="s">
        <v>755</v>
      </c>
      <c r="E66" s="21"/>
      <c r="F66" s="22">
        <f>10193246.0839843/10000</f>
        <v>1019.3246083984301</v>
      </c>
      <c r="G66" s="23" t="s">
        <v>761</v>
      </c>
      <c r="H66" s="302">
        <f>ZoneInondable2022!G374</f>
        <v>247.17302000000001</v>
      </c>
      <c r="I66" s="24">
        <v>0</v>
      </c>
      <c r="J66" s="24">
        <f t="shared" si="9"/>
        <v>0</v>
      </c>
      <c r="K66" s="24">
        <f t="shared" si="10"/>
        <v>0</v>
      </c>
      <c r="L66" s="24">
        <f t="shared" si="10"/>
        <v>0</v>
      </c>
      <c r="M66" s="24">
        <f t="shared" si="10"/>
        <v>0</v>
      </c>
      <c r="N66" s="24"/>
      <c r="O66" s="24"/>
      <c r="P66" s="24"/>
      <c r="Q66" s="24">
        <f t="shared" si="2"/>
        <v>247.17302000000001</v>
      </c>
      <c r="R66" s="85">
        <f t="shared" si="0"/>
        <v>0.24248705266554879</v>
      </c>
      <c r="S66" s="324">
        <v>0.24277696179809125</v>
      </c>
      <c r="T66" s="25">
        <v>247.46853151299999</v>
      </c>
      <c r="U66" s="26">
        <v>0</v>
      </c>
      <c r="V66" s="27">
        <v>0</v>
      </c>
      <c r="W66" s="27">
        <v>0</v>
      </c>
      <c r="X66" s="27">
        <v>0</v>
      </c>
      <c r="Y66" s="27">
        <v>0</v>
      </c>
      <c r="Z66" s="27"/>
      <c r="AA66" s="27"/>
      <c r="AB66" s="160">
        <f t="shared" si="3"/>
        <v>247.46853151299999</v>
      </c>
      <c r="AC66" s="216">
        <f t="shared" si="1"/>
        <v>0.24277696179809125</v>
      </c>
    </row>
    <row r="67" spans="1:29" s="81" customFormat="1" ht="26.25" x14ac:dyDescent="0.25">
      <c r="A67" s="70">
        <v>65</v>
      </c>
      <c r="B67" s="71">
        <v>30066</v>
      </c>
      <c r="C67" s="72" t="s">
        <v>115</v>
      </c>
      <c r="D67" s="84" t="s">
        <v>755</v>
      </c>
      <c r="E67" s="69"/>
      <c r="F67" s="74">
        <f>12247120.4838867/10000</f>
        <v>1224.7120483886699</v>
      </c>
      <c r="G67" s="75" t="s">
        <v>11</v>
      </c>
      <c r="H67" s="76">
        <v>0</v>
      </c>
      <c r="I67" s="76">
        <v>0</v>
      </c>
      <c r="J67" s="76">
        <f t="shared" si="9"/>
        <v>0</v>
      </c>
      <c r="K67" s="302">
        <f>ZoneInondable2022!G171</f>
        <v>75.370500000000007</v>
      </c>
      <c r="L67" s="302">
        <f>ZoneInondable2022!G52</f>
        <v>7.8122679999999998E-3</v>
      </c>
      <c r="M67" s="302">
        <f>ZoneInondable2022!G307</f>
        <v>56.900641999999998</v>
      </c>
      <c r="N67" s="76"/>
      <c r="O67" s="76"/>
      <c r="P67" s="76"/>
      <c r="Q67" s="76">
        <f t="shared" si="2"/>
        <v>132.27895426800001</v>
      </c>
      <c r="R67" s="77">
        <f t="shared" ref="R67:R130" si="11">Q67/F67</f>
        <v>0.10800820849442681</v>
      </c>
      <c r="S67" s="324">
        <v>0.11351593999395773</v>
      </c>
      <c r="T67" s="78">
        <v>0</v>
      </c>
      <c r="U67" s="79">
        <v>0</v>
      </c>
      <c r="V67" s="80">
        <v>0</v>
      </c>
      <c r="W67" s="80">
        <v>81.234329846800009</v>
      </c>
      <c r="X67" s="80">
        <v>7.8334327971300004E-3</v>
      </c>
      <c r="Y67" s="80">
        <v>57.782176115168198</v>
      </c>
      <c r="Z67" s="80"/>
      <c r="AA67" s="80"/>
      <c r="AB67" s="51">
        <f t="shared" si="3"/>
        <v>139.02433939476532</v>
      </c>
      <c r="AC67" s="216">
        <f t="shared" ref="AC67:AC130" si="12">AB67/F67</f>
        <v>0.11351593999395773</v>
      </c>
    </row>
    <row r="68" spans="1:29" s="81" customFormat="1" ht="26.25" x14ac:dyDescent="0.25">
      <c r="A68" s="70">
        <v>66</v>
      </c>
      <c r="B68" s="71">
        <v>30067</v>
      </c>
      <c r="C68" s="72" t="s">
        <v>443</v>
      </c>
      <c r="D68" s="84" t="s">
        <v>754</v>
      </c>
      <c r="E68" s="89" t="s">
        <v>783</v>
      </c>
      <c r="F68" s="74">
        <f>24764359.4936523/10000</f>
        <v>2476.43594936523</v>
      </c>
      <c r="G68" s="75" t="s">
        <v>11</v>
      </c>
      <c r="H68" s="76">
        <v>0</v>
      </c>
      <c r="I68" s="76">
        <v>0</v>
      </c>
      <c r="J68" s="76">
        <f t="shared" si="9"/>
        <v>0</v>
      </c>
      <c r="K68" s="302">
        <f>ZoneInondable2022!G293</f>
        <v>131.00389000000001</v>
      </c>
      <c r="L68" s="302">
        <f>ZoneInondable2022!G566</f>
        <v>27.179943000000002</v>
      </c>
      <c r="M68" s="302">
        <f>ZoneInondable2022!G436</f>
        <v>75.955539999999999</v>
      </c>
      <c r="N68" s="76"/>
      <c r="O68" s="76"/>
      <c r="P68" s="76"/>
      <c r="Q68" s="76">
        <f t="shared" ref="Q68:Q131" si="13">SUM(H68:P68)</f>
        <v>234.13937300000003</v>
      </c>
      <c r="R68" s="77">
        <f t="shared" si="11"/>
        <v>9.4546912493341725E-2</v>
      </c>
      <c r="S68" s="324">
        <v>9.1942909106275339E-2</v>
      </c>
      <c r="T68" s="78">
        <v>0</v>
      </c>
      <c r="U68" s="79">
        <v>0</v>
      </c>
      <c r="V68" s="80">
        <v>0</v>
      </c>
      <c r="W68" s="80">
        <v>127.40960540000002</v>
      </c>
      <c r="X68" s="80">
        <v>25.642193900000002</v>
      </c>
      <c r="Y68" s="80">
        <v>74.638926100000006</v>
      </c>
      <c r="Z68" s="80"/>
      <c r="AA68" s="80"/>
      <c r="AB68" s="51">
        <f t="shared" ref="AB68:AB131" si="14">SUM(T68+U68+V68+W68+X68+Y68+Z68+AA68)</f>
        <v>227.69072540000002</v>
      </c>
      <c r="AC68" s="216">
        <f t="shared" si="12"/>
        <v>9.1942909106275339E-2</v>
      </c>
    </row>
    <row r="69" spans="1:29" s="28" customFormat="1" x14ac:dyDescent="0.25">
      <c r="A69" s="17">
        <v>67</v>
      </c>
      <c r="B69" s="18">
        <v>30068</v>
      </c>
      <c r="C69" s="19" t="s">
        <v>620</v>
      </c>
      <c r="D69" s="20" t="s">
        <v>754</v>
      </c>
      <c r="E69" s="21"/>
      <c r="F69" s="22">
        <f>8233097.93457031/10000</f>
        <v>823.30979345703099</v>
      </c>
      <c r="G69" s="23" t="s">
        <v>761</v>
      </c>
      <c r="H69" s="302">
        <f>ZoneInondable2022!G627</f>
        <v>155.10826</v>
      </c>
      <c r="I69" s="24">
        <v>0</v>
      </c>
      <c r="J69" s="24">
        <f t="shared" si="9"/>
        <v>0</v>
      </c>
      <c r="K69" s="24">
        <f t="shared" ref="K69:M71" si="15">W69/10000</f>
        <v>0</v>
      </c>
      <c r="L69" s="24">
        <f t="shared" si="15"/>
        <v>0</v>
      </c>
      <c r="M69" s="24">
        <f t="shared" si="15"/>
        <v>0</v>
      </c>
      <c r="N69" s="24"/>
      <c r="O69" s="24"/>
      <c r="P69" s="24"/>
      <c r="Q69" s="24">
        <f t="shared" si="13"/>
        <v>155.10826</v>
      </c>
      <c r="R69" s="85">
        <f t="shared" si="11"/>
        <v>0.18839598560914628</v>
      </c>
      <c r="S69" s="324">
        <v>0.18901143561665848</v>
      </c>
      <c r="T69" s="25">
        <v>155.614966018568</v>
      </c>
      <c r="U69" s="26">
        <v>0</v>
      </c>
      <c r="V69" s="27">
        <v>0</v>
      </c>
      <c r="W69" s="27">
        <v>0</v>
      </c>
      <c r="X69" s="27">
        <v>0</v>
      </c>
      <c r="Y69" s="27">
        <v>0</v>
      </c>
      <c r="Z69" s="27"/>
      <c r="AA69" s="27"/>
      <c r="AB69" s="160">
        <f t="shared" si="14"/>
        <v>155.614966018568</v>
      </c>
      <c r="AC69" s="216">
        <f t="shared" si="12"/>
        <v>0.18901143561665848</v>
      </c>
    </row>
    <row r="70" spans="1:29" s="28" customFormat="1" x14ac:dyDescent="0.25">
      <c r="A70" s="17">
        <v>68</v>
      </c>
      <c r="B70" s="18">
        <v>30069</v>
      </c>
      <c r="C70" s="19" t="s">
        <v>588</v>
      </c>
      <c r="D70" s="20" t="s">
        <v>755</v>
      </c>
      <c r="E70" s="21"/>
      <c r="F70" s="22">
        <f>15739080.7109375/10000</f>
        <v>1573.9080710937501</v>
      </c>
      <c r="G70" s="23" t="s">
        <v>761</v>
      </c>
      <c r="H70" s="302">
        <f>ZoneInondable2022!G581+ZoneInondable2022!G564</f>
        <v>0.14182238714000001</v>
      </c>
      <c r="I70" s="24">
        <v>0</v>
      </c>
      <c r="J70" s="24">
        <f t="shared" si="9"/>
        <v>0</v>
      </c>
      <c r="K70" s="24">
        <f t="shared" si="15"/>
        <v>0</v>
      </c>
      <c r="L70" s="24">
        <f t="shared" si="15"/>
        <v>0</v>
      </c>
      <c r="M70" s="24">
        <f t="shared" si="15"/>
        <v>0</v>
      </c>
      <c r="N70" s="24"/>
      <c r="O70" s="24"/>
      <c r="P70" s="24"/>
      <c r="Q70" s="24">
        <f t="shared" si="13"/>
        <v>0.14182238714000001</v>
      </c>
      <c r="R70" s="85">
        <f t="shared" si="11"/>
        <v>9.0108431200460075E-5</v>
      </c>
      <c r="S70" s="324">
        <v>2.3951258057958435E-4</v>
      </c>
      <c r="T70" s="25">
        <v>0.37697078370269999</v>
      </c>
      <c r="U70" s="26">
        <v>0</v>
      </c>
      <c r="V70" s="27">
        <v>0</v>
      </c>
      <c r="W70" s="27">
        <v>0</v>
      </c>
      <c r="X70" s="27">
        <v>0</v>
      </c>
      <c r="Y70" s="27">
        <v>0</v>
      </c>
      <c r="Z70" s="27"/>
      <c r="AA70" s="27"/>
      <c r="AB70" s="160">
        <f t="shared" si="14"/>
        <v>0.37697078370269999</v>
      </c>
      <c r="AC70" s="216">
        <f t="shared" si="12"/>
        <v>2.3951258057958435E-4</v>
      </c>
    </row>
    <row r="71" spans="1:29" s="28" customFormat="1" x14ac:dyDescent="0.25">
      <c r="A71" s="17">
        <v>69</v>
      </c>
      <c r="B71" s="18">
        <v>30070</v>
      </c>
      <c r="C71" s="19" t="s">
        <v>144</v>
      </c>
      <c r="D71" s="20" t="s">
        <v>773</v>
      </c>
      <c r="E71" s="21" t="s">
        <v>784</v>
      </c>
      <c r="F71" s="22">
        <f>11837223.0131835/10000</f>
        <v>1183.72230131835</v>
      </c>
      <c r="G71" s="23" t="s">
        <v>761</v>
      </c>
      <c r="H71" s="302">
        <f>ZoneInondable2022!G68</f>
        <v>42.40381</v>
      </c>
      <c r="I71" s="24">
        <v>0</v>
      </c>
      <c r="J71" s="24">
        <f t="shared" si="9"/>
        <v>0</v>
      </c>
      <c r="K71" s="24">
        <f t="shared" si="15"/>
        <v>0</v>
      </c>
      <c r="L71" s="24">
        <f t="shared" si="15"/>
        <v>0</v>
      </c>
      <c r="M71" s="24">
        <f t="shared" si="15"/>
        <v>0</v>
      </c>
      <c r="N71" s="24"/>
      <c r="O71" s="24"/>
      <c r="P71" s="24"/>
      <c r="Q71" s="24">
        <f t="shared" si="13"/>
        <v>42.40381</v>
      </c>
      <c r="R71" s="85">
        <f t="shared" si="11"/>
        <v>3.582243060958934E-2</v>
      </c>
      <c r="S71" s="324">
        <v>3.6614132807966666E-2</v>
      </c>
      <c r="T71" s="25">
        <v>43.340965548222002</v>
      </c>
      <c r="U71" s="26">
        <v>0</v>
      </c>
      <c r="V71" s="27">
        <v>0</v>
      </c>
      <c r="W71" s="27">
        <v>0</v>
      </c>
      <c r="X71" s="27">
        <v>0</v>
      </c>
      <c r="Y71" s="27">
        <v>0</v>
      </c>
      <c r="Z71" s="27"/>
      <c r="AA71" s="27"/>
      <c r="AB71" s="160">
        <f t="shared" si="14"/>
        <v>43.340965548222002</v>
      </c>
      <c r="AC71" s="216">
        <f t="shared" si="12"/>
        <v>3.6614132807966666E-2</v>
      </c>
    </row>
    <row r="72" spans="1:29" s="81" customFormat="1" x14ac:dyDescent="0.25">
      <c r="A72" s="70">
        <v>70</v>
      </c>
      <c r="B72" s="71">
        <v>30071</v>
      </c>
      <c r="C72" s="72" t="s">
        <v>654</v>
      </c>
      <c r="D72" s="84" t="s">
        <v>754</v>
      </c>
      <c r="E72" s="69"/>
      <c r="F72" s="74">
        <f>5248747.55810546/10000</f>
        <v>524.87475581054605</v>
      </c>
      <c r="G72" s="75" t="s">
        <v>11</v>
      </c>
      <c r="H72" s="76">
        <v>0</v>
      </c>
      <c r="I72" s="76">
        <v>0</v>
      </c>
      <c r="J72" s="76">
        <f t="shared" si="9"/>
        <v>0</v>
      </c>
      <c r="K72" s="36">
        <f>ZoneInondable2022!G671-X72</f>
        <v>156.4415994669825</v>
      </c>
      <c r="L72" s="36">
        <f>0+X72</f>
        <v>20.014450533017499</v>
      </c>
      <c r="M72" s="302">
        <f>ZoneInondable2022!G848</f>
        <v>10.663360000000001</v>
      </c>
      <c r="N72" s="76"/>
      <c r="O72" s="76"/>
      <c r="P72" s="76"/>
      <c r="Q72" s="76">
        <f t="shared" si="13"/>
        <v>187.11941000000002</v>
      </c>
      <c r="R72" s="77">
        <f t="shared" si="11"/>
        <v>0.35650297128700337</v>
      </c>
      <c r="S72" s="324">
        <v>0.37115531341048791</v>
      </c>
      <c r="T72" s="78">
        <v>0</v>
      </c>
      <c r="U72" s="79">
        <v>0</v>
      </c>
      <c r="V72" s="80">
        <v>0</v>
      </c>
      <c r="W72" s="80">
        <v>163.00740645061401</v>
      </c>
      <c r="X72" s="80">
        <v>20.014450533017499</v>
      </c>
      <c r="Y72" s="80">
        <v>11.788197510485</v>
      </c>
      <c r="Z72" s="80"/>
      <c r="AA72" s="80"/>
      <c r="AB72" s="164">
        <f t="shared" si="14"/>
        <v>194.81005449411651</v>
      </c>
      <c r="AC72" s="216">
        <f t="shared" si="12"/>
        <v>0.37115531341048791</v>
      </c>
    </row>
    <row r="73" spans="1:29" s="81" customFormat="1" ht="26.25" x14ac:dyDescent="0.25">
      <c r="A73" s="70">
        <v>71</v>
      </c>
      <c r="B73" s="71">
        <v>30072</v>
      </c>
      <c r="C73" s="72" t="s">
        <v>350</v>
      </c>
      <c r="D73" s="84" t="s">
        <v>754</v>
      </c>
      <c r="E73" s="69"/>
      <c r="F73" s="74">
        <f>10318719.9282226/10000</f>
        <v>1031.8719928222599</v>
      </c>
      <c r="G73" s="75" t="s">
        <v>11</v>
      </c>
      <c r="H73" s="76">
        <v>0</v>
      </c>
      <c r="I73" s="76">
        <v>0</v>
      </c>
      <c r="J73" s="76">
        <f t="shared" si="9"/>
        <v>0</v>
      </c>
      <c r="K73" s="36">
        <f>ZoneInondable2022!G212-X73</f>
        <v>16.970952861619999</v>
      </c>
      <c r="L73" s="36">
        <f>0+X73</f>
        <v>6.1080651383800006</v>
      </c>
      <c r="M73" s="302">
        <f>ZoneInondable2022!G828</f>
        <v>38.908141999999998</v>
      </c>
      <c r="N73" s="76"/>
      <c r="O73" s="76"/>
      <c r="P73" s="76"/>
      <c r="Q73" s="76">
        <f t="shared" si="13"/>
        <v>61.987159999999996</v>
      </c>
      <c r="R73" s="77">
        <f t="shared" si="11"/>
        <v>6.007252879347922E-2</v>
      </c>
      <c r="S73" s="324">
        <v>6.1204954117829787E-2</v>
      </c>
      <c r="T73" s="78">
        <v>0</v>
      </c>
      <c r="U73" s="79">
        <v>0</v>
      </c>
      <c r="V73" s="80">
        <v>0</v>
      </c>
      <c r="W73" s="80">
        <v>5.4759113966799999</v>
      </c>
      <c r="X73" s="80">
        <v>6.1080651383800006</v>
      </c>
      <c r="Y73" s="80">
        <v>51.571701441100004</v>
      </c>
      <c r="Z73" s="80"/>
      <c r="AA73" s="80"/>
      <c r="AB73" s="164">
        <f t="shared" si="14"/>
        <v>63.155677976160007</v>
      </c>
      <c r="AC73" s="216">
        <f t="shared" si="12"/>
        <v>6.1204954117829787E-2</v>
      </c>
    </row>
    <row r="74" spans="1:29" s="81" customFormat="1" ht="26.25" x14ac:dyDescent="0.25">
      <c r="A74" s="70">
        <v>72</v>
      </c>
      <c r="B74" s="71">
        <v>30073</v>
      </c>
      <c r="C74" s="72" t="s">
        <v>477</v>
      </c>
      <c r="D74" s="84" t="s">
        <v>754</v>
      </c>
      <c r="E74" s="69"/>
      <c r="F74" s="74">
        <f>17845615.8745117/10000</f>
        <v>1784.56158745117</v>
      </c>
      <c r="G74" s="75" t="s">
        <v>11</v>
      </c>
      <c r="H74" s="76">
        <v>0</v>
      </c>
      <c r="I74" s="76">
        <v>0</v>
      </c>
      <c r="J74" s="76">
        <f t="shared" si="9"/>
        <v>0</v>
      </c>
      <c r="K74" s="302">
        <f>ZoneInondable2022!G382</f>
        <v>146.58359999999999</v>
      </c>
      <c r="L74" s="302">
        <f>ZoneInondable2022!G440</f>
        <v>123.623215</v>
      </c>
      <c r="M74" s="302">
        <f>ZoneInondable2022!G333</f>
        <v>75.251729999999995</v>
      </c>
      <c r="N74" s="76"/>
      <c r="O74" s="76"/>
      <c r="P74" s="76"/>
      <c r="Q74" s="76">
        <f t="shared" si="13"/>
        <v>345.45854500000002</v>
      </c>
      <c r="R74" s="77">
        <f t="shared" si="11"/>
        <v>0.19358174435067102</v>
      </c>
      <c r="S74" s="324">
        <v>0.19512153228476217</v>
      </c>
      <c r="T74" s="78">
        <v>0</v>
      </c>
      <c r="U74" s="79">
        <v>0</v>
      </c>
      <c r="V74" s="80">
        <v>0</v>
      </c>
      <c r="W74" s="80">
        <v>148.64989359999998</v>
      </c>
      <c r="X74" s="80">
        <v>124.4680736</v>
      </c>
      <c r="Y74" s="80">
        <v>75.088424199999992</v>
      </c>
      <c r="Z74" s="80"/>
      <c r="AA74" s="80"/>
      <c r="AB74" s="51">
        <f t="shared" si="14"/>
        <v>348.20639139999992</v>
      </c>
      <c r="AC74" s="216">
        <f t="shared" si="12"/>
        <v>0.19512153228476217</v>
      </c>
    </row>
    <row r="75" spans="1:29" s="28" customFormat="1" x14ac:dyDescent="0.25">
      <c r="A75" s="17">
        <v>73</v>
      </c>
      <c r="B75" s="18">
        <v>30074</v>
      </c>
      <c r="C75" s="19" t="s">
        <v>614</v>
      </c>
      <c r="D75" s="20" t="s">
        <v>785</v>
      </c>
      <c r="E75" s="21"/>
      <c r="F75" s="22">
        <f>7625185.02294921/10000</f>
        <v>762.51850229492106</v>
      </c>
      <c r="G75" s="23" t="s">
        <v>761</v>
      </c>
      <c r="H75" s="302">
        <f>ZoneInondable2022!G634</f>
        <v>21.129313</v>
      </c>
      <c r="I75" s="302">
        <f>ZoneInondable2022!G619</f>
        <v>0.75765930000000004</v>
      </c>
      <c r="J75" s="24">
        <f t="shared" si="9"/>
        <v>0</v>
      </c>
      <c r="K75" s="24">
        <f>W75/10000</f>
        <v>0</v>
      </c>
      <c r="L75" s="24">
        <f>X75/10000</f>
        <v>0</v>
      </c>
      <c r="M75" s="24">
        <f>Y75/10000</f>
        <v>0</v>
      </c>
      <c r="N75" s="24"/>
      <c r="O75" s="24"/>
      <c r="P75" s="24"/>
      <c r="Q75" s="24">
        <f t="shared" si="13"/>
        <v>21.8869723</v>
      </c>
      <c r="R75" s="85">
        <f t="shared" si="11"/>
        <v>2.8703529467321336E-2</v>
      </c>
      <c r="S75" s="324">
        <v>1.2994984106846637E-2</v>
      </c>
      <c r="T75" s="25">
        <v>9.1526288534700004</v>
      </c>
      <c r="U75" s="26">
        <v>0.75628696502900006</v>
      </c>
      <c r="V75" s="27">
        <v>0</v>
      </c>
      <c r="W75" s="27">
        <v>0</v>
      </c>
      <c r="X75" s="27">
        <v>0</v>
      </c>
      <c r="Y75" s="27">
        <v>0</v>
      </c>
      <c r="Z75" s="27"/>
      <c r="AA75" s="27"/>
      <c r="AB75" s="160">
        <f t="shared" si="14"/>
        <v>9.9089158184990005</v>
      </c>
      <c r="AC75" s="216">
        <f t="shared" si="12"/>
        <v>1.2994984106846637E-2</v>
      </c>
    </row>
    <row r="76" spans="1:29" s="81" customFormat="1" x14ac:dyDescent="0.25">
      <c r="A76" s="70">
        <v>74</v>
      </c>
      <c r="B76" s="71">
        <v>30075</v>
      </c>
      <c r="C76" s="72" t="s">
        <v>117</v>
      </c>
      <c r="D76" s="84" t="s">
        <v>758</v>
      </c>
      <c r="E76" s="69"/>
      <c r="F76" s="74">
        <f>15336364.7060546/10000</f>
        <v>1533.6364706054601</v>
      </c>
      <c r="G76" s="75" t="s">
        <v>786</v>
      </c>
      <c r="H76" s="76">
        <v>0</v>
      </c>
      <c r="I76" s="76">
        <v>0</v>
      </c>
      <c r="J76" s="302">
        <f>ZoneInondable2022!G81</f>
        <v>1.6357481E-2</v>
      </c>
      <c r="K76" s="302">
        <f>ZoneInondable2022!G109</f>
        <v>90.721085000000002</v>
      </c>
      <c r="L76" s="302">
        <f>ZoneInondable2022!G54</f>
        <v>72.584620000000001</v>
      </c>
      <c r="M76" s="302">
        <f>ZoneInondable2022!G133</f>
        <v>62.438015</v>
      </c>
      <c r="N76" s="76"/>
      <c r="O76" s="76"/>
      <c r="P76" s="76"/>
      <c r="Q76" s="76">
        <f t="shared" si="13"/>
        <v>225.760077481</v>
      </c>
      <c r="R76" s="201">
        <f t="shared" si="11"/>
        <v>0.1472057308286838</v>
      </c>
      <c r="S76" s="324">
        <v>0.18362547650475611</v>
      </c>
      <c r="T76" s="78">
        <v>0</v>
      </c>
      <c r="U76" s="79">
        <v>0</v>
      </c>
      <c r="V76" s="80">
        <v>0</v>
      </c>
      <c r="W76" s="80">
        <v>86.783175</v>
      </c>
      <c r="X76" s="80">
        <v>74.159102099999998</v>
      </c>
      <c r="Y76" s="80">
        <v>64.170010199999993</v>
      </c>
      <c r="Z76" s="80">
        <v>56.502440399999998</v>
      </c>
      <c r="AA76" s="80"/>
      <c r="AB76" s="51">
        <f t="shared" si="14"/>
        <v>281.6147277</v>
      </c>
      <c r="AC76" s="216">
        <f t="shared" si="12"/>
        <v>0.18362547650475611</v>
      </c>
    </row>
    <row r="77" spans="1:29" s="81" customFormat="1" x14ac:dyDescent="0.25">
      <c r="A77" s="70">
        <v>75</v>
      </c>
      <c r="B77" s="71">
        <v>30076</v>
      </c>
      <c r="C77" s="72" t="s">
        <v>290</v>
      </c>
      <c r="D77" s="84" t="s">
        <v>765</v>
      </c>
      <c r="E77" s="69"/>
      <c r="F77" s="74">
        <f>11135569.5454101/10000</f>
        <v>1113.5569545410101</v>
      </c>
      <c r="G77" s="75" t="s">
        <v>786</v>
      </c>
      <c r="H77" s="76">
        <v>0</v>
      </c>
      <c r="I77" s="76">
        <v>0</v>
      </c>
      <c r="J77" s="76">
        <f t="shared" ref="J77:J109" si="16">V77/10000</f>
        <v>0</v>
      </c>
      <c r="K77" s="302">
        <f>ZoneInondable2022!G557</f>
        <v>37.101512999999997</v>
      </c>
      <c r="L77" s="302">
        <f>ZoneInondable2022!G160</f>
        <v>21.275095</v>
      </c>
      <c r="M77" s="302">
        <f>ZoneInondable2022!G467</f>
        <v>24.062593</v>
      </c>
      <c r="N77" s="76"/>
      <c r="O77" s="76"/>
      <c r="P77" s="76"/>
      <c r="Q77" s="76">
        <f t="shared" si="13"/>
        <v>82.439200999999997</v>
      </c>
      <c r="R77" s="88">
        <f t="shared" si="11"/>
        <v>7.4032316590380495E-2</v>
      </c>
      <c r="S77" s="324">
        <v>5.0671129099685373E-2</v>
      </c>
      <c r="T77" s="78">
        <v>56.425188203399998</v>
      </c>
      <c r="U77" s="79">
        <v>0</v>
      </c>
      <c r="V77" s="80">
        <v>0</v>
      </c>
      <c r="W77" s="80">
        <v>0</v>
      </c>
      <c r="X77" s="80">
        <v>0</v>
      </c>
      <c r="Y77" s="80">
        <v>0</v>
      </c>
      <c r="Z77" s="80"/>
      <c r="AA77" s="80"/>
      <c r="AB77" s="51">
        <f t="shared" si="14"/>
        <v>56.425188203399998</v>
      </c>
      <c r="AC77" s="216">
        <f t="shared" si="12"/>
        <v>5.0671129099685373E-2</v>
      </c>
    </row>
    <row r="78" spans="1:29" s="81" customFormat="1" x14ac:dyDescent="0.25">
      <c r="A78" s="70">
        <v>76</v>
      </c>
      <c r="B78" s="71">
        <v>30077</v>
      </c>
      <c r="C78" s="72" t="s">
        <v>121</v>
      </c>
      <c r="D78" s="84" t="s">
        <v>754</v>
      </c>
      <c r="E78" s="69"/>
      <c r="F78" s="74">
        <f>13057936.3852539/10000</f>
        <v>1305.7936385253902</v>
      </c>
      <c r="G78" s="75" t="s">
        <v>11</v>
      </c>
      <c r="H78" s="76">
        <v>0</v>
      </c>
      <c r="I78" s="76">
        <v>0</v>
      </c>
      <c r="J78" s="76">
        <f t="shared" si="16"/>
        <v>0</v>
      </c>
      <c r="K78" s="302">
        <f>ZoneInondable2022!G834</f>
        <v>102.33125</v>
      </c>
      <c r="L78" s="302">
        <f>ZoneInondable2022!G108</f>
        <v>26.203444999999999</v>
      </c>
      <c r="M78" s="302">
        <f>ZoneInondable2022!G56</f>
        <v>65.524190000000004</v>
      </c>
      <c r="N78" s="76"/>
      <c r="O78" s="76"/>
      <c r="P78" s="76"/>
      <c r="Q78" s="76">
        <f t="shared" si="13"/>
        <v>194.058885</v>
      </c>
      <c r="R78" s="77">
        <f t="shared" si="11"/>
        <v>0.14861374667068167</v>
      </c>
      <c r="S78" s="324">
        <v>0.14981762730554665</v>
      </c>
      <c r="T78" s="78">
        <v>0</v>
      </c>
      <c r="U78" s="79">
        <v>0</v>
      </c>
      <c r="V78" s="80">
        <v>0</v>
      </c>
      <c r="W78" s="80">
        <v>102.10131335609201</v>
      </c>
      <c r="X78" s="80">
        <v>26.080943702058597</v>
      </c>
      <c r="Y78" s="80">
        <v>67.448647616399995</v>
      </c>
      <c r="Z78" s="80"/>
      <c r="AA78" s="80"/>
      <c r="AB78" s="51">
        <f t="shared" si="14"/>
        <v>195.63090467455061</v>
      </c>
      <c r="AC78" s="216">
        <f t="shared" si="12"/>
        <v>0.14981762730554665</v>
      </c>
    </row>
    <row r="79" spans="1:29" s="81" customFormat="1" x14ac:dyDescent="0.25">
      <c r="A79" s="70">
        <v>77</v>
      </c>
      <c r="B79" s="71">
        <v>30079</v>
      </c>
      <c r="C79" s="72" t="s">
        <v>354</v>
      </c>
      <c r="D79" s="84" t="s">
        <v>765</v>
      </c>
      <c r="E79" s="69"/>
      <c r="F79" s="74">
        <f>14480940.8574218/10000</f>
        <v>1448.0940857421801</v>
      </c>
      <c r="G79" s="75" t="s">
        <v>11</v>
      </c>
      <c r="H79" s="76">
        <v>0</v>
      </c>
      <c r="I79" s="76">
        <v>0</v>
      </c>
      <c r="J79" s="76">
        <f t="shared" si="16"/>
        <v>0</v>
      </c>
      <c r="K79" s="302">
        <f>ZoneInondable2022!G792</f>
        <v>62.964084999999997</v>
      </c>
      <c r="L79" s="302">
        <f>ZoneInondable2022!G214</f>
        <v>2.6671393000000001</v>
      </c>
      <c r="M79" s="302">
        <f>ZoneInondable2022!G364</f>
        <v>31.467451000000001</v>
      </c>
      <c r="N79" s="76"/>
      <c r="O79" s="76"/>
      <c r="P79" s="76"/>
      <c r="Q79" s="76">
        <f t="shared" si="13"/>
        <v>97.098675299999996</v>
      </c>
      <c r="R79" s="77">
        <f t="shared" si="11"/>
        <v>6.705273935998074E-2</v>
      </c>
      <c r="S79" s="324">
        <v>7.1974727155909635E-2</v>
      </c>
      <c r="T79" s="78">
        <v>0</v>
      </c>
      <c r="U79" s="79">
        <v>0</v>
      </c>
      <c r="V79" s="80">
        <v>0</v>
      </c>
      <c r="W79" s="80">
        <v>69.309077289213405</v>
      </c>
      <c r="X79" s="80">
        <v>2.5286843042664202</v>
      </c>
      <c r="Y79" s="80">
        <v>32.388415123900003</v>
      </c>
      <c r="Z79" s="80"/>
      <c r="AA79" s="80"/>
      <c r="AB79" s="51">
        <f t="shared" si="14"/>
        <v>104.22617671737983</v>
      </c>
      <c r="AC79" s="216">
        <f t="shared" si="12"/>
        <v>7.1974727155909635E-2</v>
      </c>
    </row>
    <row r="80" spans="1:29" s="81" customFormat="1" x14ac:dyDescent="0.25">
      <c r="A80" s="70">
        <v>78</v>
      </c>
      <c r="B80" s="71">
        <v>30080</v>
      </c>
      <c r="C80" s="72" t="s">
        <v>43</v>
      </c>
      <c r="D80" s="84" t="s">
        <v>765</v>
      </c>
      <c r="E80" s="69"/>
      <c r="F80" s="74">
        <f>17837378.1166992/10000</f>
        <v>1783.7378116699201</v>
      </c>
      <c r="G80" s="75" t="s">
        <v>11</v>
      </c>
      <c r="H80" s="76">
        <v>0</v>
      </c>
      <c r="I80" s="76">
        <v>0</v>
      </c>
      <c r="J80" s="76">
        <f t="shared" si="16"/>
        <v>0</v>
      </c>
      <c r="K80" s="302">
        <f>ZoneInondable2022!G395</f>
        <v>47.808169999999997</v>
      </c>
      <c r="L80" s="302">
        <f>ZoneInondable2022!G761</f>
        <v>9.2557740000000006</v>
      </c>
      <c r="M80" s="302">
        <f>ZoneInondable2022!G13</f>
        <v>38.742752000000003</v>
      </c>
      <c r="N80" s="76"/>
      <c r="O80" s="76"/>
      <c r="P80" s="76"/>
      <c r="Q80" s="76">
        <f t="shared" si="13"/>
        <v>95.806696000000002</v>
      </c>
      <c r="R80" s="77">
        <f t="shared" si="11"/>
        <v>5.3711198682449071E-2</v>
      </c>
      <c r="S80" s="324">
        <v>4.6805303034556558E-2</v>
      </c>
      <c r="T80" s="78">
        <v>0.169496959532</v>
      </c>
      <c r="U80" s="79">
        <v>0</v>
      </c>
      <c r="V80" s="80">
        <v>0</v>
      </c>
      <c r="W80" s="80">
        <v>37.693931983733897</v>
      </c>
      <c r="X80" s="80">
        <v>9.368630025941501</v>
      </c>
      <c r="Y80" s="80">
        <v>36.256329840199996</v>
      </c>
      <c r="Z80" s="80"/>
      <c r="AA80" s="80"/>
      <c r="AB80" s="51">
        <f t="shared" si="14"/>
        <v>83.488388809407382</v>
      </c>
      <c r="AC80" s="216">
        <f t="shared" si="12"/>
        <v>4.6805303034556558E-2</v>
      </c>
    </row>
    <row r="81" spans="1:29" s="107" customFormat="1" x14ac:dyDescent="0.25">
      <c r="A81" s="136">
        <v>79</v>
      </c>
      <c r="B81" s="71">
        <v>30081</v>
      </c>
      <c r="C81" s="72" t="s">
        <v>526</v>
      </c>
      <c r="D81" s="84" t="s">
        <v>765</v>
      </c>
      <c r="E81" s="69" t="s">
        <v>787</v>
      </c>
      <c r="F81" s="74">
        <f>13331690.9091796/10000</f>
        <v>1333.1690909179599</v>
      </c>
      <c r="G81" s="75" t="s">
        <v>11</v>
      </c>
      <c r="H81" s="76">
        <v>0</v>
      </c>
      <c r="I81" s="76">
        <v>0</v>
      </c>
      <c r="J81" s="76">
        <f t="shared" si="16"/>
        <v>0</v>
      </c>
      <c r="K81" s="302">
        <f>ZoneInondable2022!G454</f>
        <v>307.04187000000002</v>
      </c>
      <c r="L81" s="302">
        <f>ZoneInondable2022!G486</f>
        <v>23.514109000000001</v>
      </c>
      <c r="M81" s="302">
        <f>ZoneInondable2022!G400</f>
        <v>52.700893000000001</v>
      </c>
      <c r="N81" s="76"/>
      <c r="O81" s="76"/>
      <c r="P81" s="76"/>
      <c r="Q81" s="76">
        <f t="shared" si="13"/>
        <v>383.25687200000004</v>
      </c>
      <c r="R81" s="88">
        <f t="shared" si="11"/>
        <v>0.28747806606895354</v>
      </c>
      <c r="S81" s="324">
        <v>0.24905094366299138</v>
      </c>
      <c r="T81" s="105">
        <v>205.27309791499999</v>
      </c>
      <c r="U81" s="76">
        <v>0</v>
      </c>
      <c r="V81" s="106">
        <v>0</v>
      </c>
      <c r="W81" s="106">
        <v>100.73934563398382</v>
      </c>
      <c r="X81" s="106">
        <v>26.014576606466477</v>
      </c>
      <c r="Y81" s="106">
        <v>0</v>
      </c>
      <c r="Z81" s="106"/>
      <c r="AA81" s="106"/>
      <c r="AB81" s="51">
        <f t="shared" si="14"/>
        <v>332.02702015545026</v>
      </c>
      <c r="AC81" s="216">
        <f t="shared" si="12"/>
        <v>0.24905094366299138</v>
      </c>
    </row>
    <row r="82" spans="1:29" s="81" customFormat="1" x14ac:dyDescent="0.25">
      <c r="A82" s="70">
        <v>80</v>
      </c>
      <c r="B82" s="71">
        <v>30082</v>
      </c>
      <c r="C82" s="72" t="s">
        <v>222</v>
      </c>
      <c r="D82" s="84" t="s">
        <v>758</v>
      </c>
      <c r="E82" s="69" t="s">
        <v>779</v>
      </c>
      <c r="F82" s="74">
        <f>14666723.9760742/10000</f>
        <v>1466.67239760742</v>
      </c>
      <c r="G82" s="75" t="s">
        <v>786</v>
      </c>
      <c r="H82" s="76">
        <v>0</v>
      </c>
      <c r="I82" s="76">
        <v>0</v>
      </c>
      <c r="J82" s="76">
        <f t="shared" si="16"/>
        <v>0</v>
      </c>
      <c r="K82" s="302">
        <f>ZoneInondable2022!G162</f>
        <v>65.828545000000005</v>
      </c>
      <c r="L82" s="302">
        <f>ZoneInondable2022!G155</f>
        <v>164.33553000000001</v>
      </c>
      <c r="M82" s="302">
        <f>ZoneInondable2022!G116</f>
        <v>113.41879</v>
      </c>
      <c r="N82" s="76"/>
      <c r="O82" s="76"/>
      <c r="P82" s="76"/>
      <c r="Q82" s="76">
        <f t="shared" si="13"/>
        <v>343.58286500000003</v>
      </c>
      <c r="R82" s="77">
        <f t="shared" si="11"/>
        <v>0.234260128956191</v>
      </c>
      <c r="S82" s="324">
        <v>0.30472793885607036</v>
      </c>
      <c r="T82" s="78">
        <v>0</v>
      </c>
      <c r="U82" s="79">
        <v>0</v>
      </c>
      <c r="V82" s="80">
        <v>0</v>
      </c>
      <c r="W82" s="80">
        <v>69.694991399999992</v>
      </c>
      <c r="X82" s="80">
        <v>166.52809580000002</v>
      </c>
      <c r="Y82" s="80">
        <v>115.36395319999998</v>
      </c>
      <c r="Z82" s="80">
        <v>95.349016299999988</v>
      </c>
      <c r="AA82" s="80"/>
      <c r="AB82" s="51">
        <f t="shared" si="14"/>
        <v>446.93605669999999</v>
      </c>
      <c r="AC82" s="216">
        <f t="shared" si="12"/>
        <v>0.30472793885607036</v>
      </c>
    </row>
    <row r="83" spans="1:29" s="81" customFormat="1" x14ac:dyDescent="0.25">
      <c r="A83" s="70">
        <v>81</v>
      </c>
      <c r="B83" s="71">
        <v>30083</v>
      </c>
      <c r="C83" s="72" t="s">
        <v>37</v>
      </c>
      <c r="D83" s="84" t="s">
        <v>758</v>
      </c>
      <c r="E83" s="69"/>
      <c r="F83" s="74">
        <f>4703086.09521484/10000</f>
        <v>470.30860952148402</v>
      </c>
      <c r="G83" s="75" t="s">
        <v>786</v>
      </c>
      <c r="H83" s="76">
        <v>0</v>
      </c>
      <c r="I83" s="76">
        <v>0</v>
      </c>
      <c r="J83" s="76">
        <f t="shared" si="16"/>
        <v>0</v>
      </c>
      <c r="K83" s="302">
        <f>ZoneInondable2022!G268</f>
        <v>108.55964</v>
      </c>
      <c r="L83" s="302">
        <f>ZoneInondable2022!G180</f>
        <v>128.57932</v>
      </c>
      <c r="M83" s="302">
        <f>ZoneInondable2022!G10</f>
        <v>109.07959</v>
      </c>
      <c r="N83" s="76"/>
      <c r="O83" s="76"/>
      <c r="P83" s="76"/>
      <c r="Q83" s="76">
        <f t="shared" si="13"/>
        <v>346.21854999999999</v>
      </c>
      <c r="R83" s="201">
        <f t="shared" si="11"/>
        <v>0.73615184368464026</v>
      </c>
      <c r="S83" s="324">
        <v>0.7789939885913657</v>
      </c>
      <c r="T83" s="78">
        <v>0</v>
      </c>
      <c r="U83" s="79">
        <v>0</v>
      </c>
      <c r="V83" s="80">
        <v>0</v>
      </c>
      <c r="W83" s="80">
        <v>109.29764369999999</v>
      </c>
      <c r="X83" s="80">
        <v>148.20613170000001</v>
      </c>
      <c r="Y83" s="80">
        <v>108.86380419999999</v>
      </c>
      <c r="Z83" s="80"/>
      <c r="AA83" s="80"/>
      <c r="AB83" s="51">
        <f t="shared" si="14"/>
        <v>366.3675796</v>
      </c>
      <c r="AC83" s="216">
        <f t="shared" si="12"/>
        <v>0.7789939885913657</v>
      </c>
    </row>
    <row r="84" spans="1:29" s="81" customFormat="1" x14ac:dyDescent="0.25">
      <c r="A84" s="70">
        <v>82</v>
      </c>
      <c r="B84" s="71">
        <v>30084</v>
      </c>
      <c r="C84" s="72" t="s">
        <v>276</v>
      </c>
      <c r="D84" s="84" t="s">
        <v>765</v>
      </c>
      <c r="E84" s="69" t="s">
        <v>787</v>
      </c>
      <c r="F84" s="74">
        <f>5598816.01171875/10000</f>
        <v>559.88160117187499</v>
      </c>
      <c r="G84" s="75" t="s">
        <v>786</v>
      </c>
      <c r="H84" s="76">
        <v>0</v>
      </c>
      <c r="I84" s="76">
        <v>0</v>
      </c>
      <c r="J84" s="76">
        <f t="shared" si="16"/>
        <v>0</v>
      </c>
      <c r="K84" s="302">
        <f>ZoneInondable2022!G367</f>
        <v>454.65280000000001</v>
      </c>
      <c r="L84" s="302">
        <f>ZoneInondable2022!G215</f>
        <v>8.0829609999999992</v>
      </c>
      <c r="M84" s="302">
        <f>ZoneInondable2022!G151</f>
        <v>39.577224999999999</v>
      </c>
      <c r="N84" s="76"/>
      <c r="O84" s="76"/>
      <c r="P84" s="76"/>
      <c r="Q84" s="76">
        <f t="shared" si="13"/>
        <v>502.31298600000002</v>
      </c>
      <c r="R84" s="77">
        <f t="shared" si="11"/>
        <v>0.8971771620082184</v>
      </c>
      <c r="S84" s="324">
        <v>0.88403032984486074</v>
      </c>
      <c r="T84" s="78">
        <v>98.331775579899997</v>
      </c>
      <c r="U84" s="79">
        <v>0</v>
      </c>
      <c r="V84" s="80">
        <v>0</v>
      </c>
      <c r="W84" s="80">
        <v>341.72452072419554</v>
      </c>
      <c r="X84" s="80">
        <v>54.896020253945899</v>
      </c>
      <c r="Y84" s="80">
        <v>0</v>
      </c>
      <c r="Z84" s="80"/>
      <c r="AA84" s="80"/>
      <c r="AB84" s="164">
        <f t="shared" si="14"/>
        <v>494.95231655804145</v>
      </c>
      <c r="AC84" s="216">
        <f t="shared" si="12"/>
        <v>0.88403032984486074</v>
      </c>
    </row>
    <row r="85" spans="1:29" s="81" customFormat="1" x14ac:dyDescent="0.25">
      <c r="A85" s="70">
        <v>83</v>
      </c>
      <c r="B85" s="71">
        <v>30085</v>
      </c>
      <c r="C85" s="72" t="s">
        <v>332</v>
      </c>
      <c r="D85" s="84" t="s">
        <v>754</v>
      </c>
      <c r="E85" s="69"/>
      <c r="F85" s="74">
        <f>21078485.3344726/10000</f>
        <v>2107.8485334472603</v>
      </c>
      <c r="G85" s="75" t="s">
        <v>11</v>
      </c>
      <c r="H85" s="76">
        <v>0</v>
      </c>
      <c r="I85" s="76">
        <v>0</v>
      </c>
      <c r="J85" s="76">
        <f t="shared" si="16"/>
        <v>0</v>
      </c>
      <c r="K85" s="302">
        <f>ZoneInondable2022!G471</f>
        <v>226.22897</v>
      </c>
      <c r="L85" s="302">
        <f>ZoneInondable2022!G588</f>
        <v>63.016330000000004</v>
      </c>
      <c r="M85" s="302">
        <f>ZoneInondable2022!G200</f>
        <v>109.283844</v>
      </c>
      <c r="N85" s="76"/>
      <c r="O85" s="76"/>
      <c r="P85" s="76"/>
      <c r="Q85" s="76">
        <f t="shared" si="13"/>
        <v>398.52914399999997</v>
      </c>
      <c r="R85" s="88">
        <f t="shared" si="11"/>
        <v>0.18906915638204297</v>
      </c>
      <c r="S85" s="324">
        <v>0.16119500661858224</v>
      </c>
      <c r="T85" s="78">
        <v>0</v>
      </c>
      <c r="U85" s="79">
        <v>0</v>
      </c>
      <c r="V85" s="80">
        <v>0</v>
      </c>
      <c r="W85" s="80">
        <v>226.8099722</v>
      </c>
      <c r="X85" s="80">
        <v>61.575311199999994</v>
      </c>
      <c r="Y85" s="80">
        <v>51.3893749</v>
      </c>
      <c r="Z85" s="80"/>
      <c r="AA85" s="80"/>
      <c r="AB85" s="51">
        <f t="shared" si="14"/>
        <v>339.7746583</v>
      </c>
      <c r="AC85" s="216">
        <f t="shared" si="12"/>
        <v>0.16119500661858224</v>
      </c>
    </row>
    <row r="86" spans="1:29" s="28" customFormat="1" x14ac:dyDescent="0.25">
      <c r="A86" s="17">
        <v>84</v>
      </c>
      <c r="B86" s="18">
        <v>30086</v>
      </c>
      <c r="C86" s="19" t="s">
        <v>715</v>
      </c>
      <c r="D86" s="20" t="s">
        <v>754</v>
      </c>
      <c r="E86" s="21"/>
      <c r="F86" s="22">
        <f>9288557.27978515/10000</f>
        <v>928.85572797851512</v>
      </c>
      <c r="G86" s="23" t="s">
        <v>761</v>
      </c>
      <c r="H86" s="302">
        <f>ZoneInondable2022!G819</f>
        <v>6.0415834999999998</v>
      </c>
      <c r="I86" s="24">
        <v>0</v>
      </c>
      <c r="J86" s="24">
        <f t="shared" si="16"/>
        <v>0</v>
      </c>
      <c r="K86" s="24">
        <f t="shared" ref="K86:M88" si="17">W86/10000</f>
        <v>0</v>
      </c>
      <c r="L86" s="24">
        <f t="shared" si="17"/>
        <v>0</v>
      </c>
      <c r="M86" s="24">
        <f t="shared" si="17"/>
        <v>0</v>
      </c>
      <c r="N86" s="24"/>
      <c r="O86" s="24"/>
      <c r="P86" s="24"/>
      <c r="Q86" s="24">
        <f t="shared" si="13"/>
        <v>6.0415834999999998</v>
      </c>
      <c r="R86" s="85">
        <f t="shared" si="11"/>
        <v>6.5043292709712876E-3</v>
      </c>
      <c r="S86" s="324">
        <v>7.5977453005955263E-3</v>
      </c>
      <c r="T86" s="25">
        <v>7.0572092421799999</v>
      </c>
      <c r="U86" s="26">
        <v>0</v>
      </c>
      <c r="V86" s="27">
        <v>0</v>
      </c>
      <c r="W86" s="27">
        <v>0</v>
      </c>
      <c r="X86" s="27">
        <v>0</v>
      </c>
      <c r="Y86" s="27">
        <v>0</v>
      </c>
      <c r="Z86" s="27"/>
      <c r="AA86" s="27"/>
      <c r="AB86" s="160">
        <f t="shared" si="14"/>
        <v>7.0572092421799999</v>
      </c>
      <c r="AC86" s="216">
        <f t="shared" si="12"/>
        <v>7.5977453005955263E-3</v>
      </c>
    </row>
    <row r="87" spans="1:29" s="149" customFormat="1" x14ac:dyDescent="0.25">
      <c r="A87" s="138">
        <v>85</v>
      </c>
      <c r="B87" s="139">
        <v>30087</v>
      </c>
      <c r="C87" s="140" t="s">
        <v>789</v>
      </c>
      <c r="D87" s="141" t="s">
        <v>754</v>
      </c>
      <c r="E87" s="137"/>
      <c r="F87" s="142">
        <f>12431740.8891601/10000</f>
        <v>1243.1740889160101</v>
      </c>
      <c r="G87" s="143" t="s">
        <v>778</v>
      </c>
      <c r="H87" s="144">
        <v>0</v>
      </c>
      <c r="I87" s="144">
        <v>0</v>
      </c>
      <c r="J87" s="144">
        <f t="shared" si="16"/>
        <v>0</v>
      </c>
      <c r="K87" s="144">
        <f t="shared" si="17"/>
        <v>0</v>
      </c>
      <c r="L87" s="144">
        <f t="shared" si="17"/>
        <v>0</v>
      </c>
      <c r="M87" s="144">
        <f t="shared" si="17"/>
        <v>0</v>
      </c>
      <c r="N87" s="144"/>
      <c r="O87" s="144"/>
      <c r="P87" s="144"/>
      <c r="Q87" s="144">
        <f t="shared" si="13"/>
        <v>0</v>
      </c>
      <c r="R87" s="145">
        <f t="shared" si="11"/>
        <v>0</v>
      </c>
      <c r="S87" s="324">
        <v>0</v>
      </c>
      <c r="T87" s="146">
        <v>0</v>
      </c>
      <c r="U87" s="147">
        <v>0</v>
      </c>
      <c r="V87" s="148">
        <v>0</v>
      </c>
      <c r="W87" s="148">
        <v>0</v>
      </c>
      <c r="X87" s="148">
        <v>0</v>
      </c>
      <c r="Y87" s="148">
        <v>0</v>
      </c>
      <c r="Z87" s="148"/>
      <c r="AA87" s="148"/>
      <c r="AB87" s="162">
        <f t="shared" si="14"/>
        <v>0</v>
      </c>
      <c r="AC87" s="216">
        <f t="shared" si="12"/>
        <v>0</v>
      </c>
    </row>
    <row r="88" spans="1:29" s="28" customFormat="1" x14ac:dyDescent="0.25">
      <c r="A88" s="17">
        <v>86</v>
      </c>
      <c r="B88" s="18">
        <v>30088</v>
      </c>
      <c r="C88" s="19" t="s">
        <v>628</v>
      </c>
      <c r="D88" s="20" t="s">
        <v>755</v>
      </c>
      <c r="E88" s="21"/>
      <c r="F88" s="22">
        <f>15844160.005371/10000</f>
        <v>1584.4160005371</v>
      </c>
      <c r="G88" s="23" t="s">
        <v>761</v>
      </c>
      <c r="H88" s="302">
        <f>ZoneInondable2022!G637</f>
        <v>44.627949999999998</v>
      </c>
      <c r="I88" s="24">
        <v>0</v>
      </c>
      <c r="J88" s="24">
        <f t="shared" si="16"/>
        <v>0</v>
      </c>
      <c r="K88" s="24">
        <f t="shared" si="17"/>
        <v>0</v>
      </c>
      <c r="L88" s="24">
        <f t="shared" si="17"/>
        <v>0</v>
      </c>
      <c r="M88" s="24">
        <f t="shared" si="17"/>
        <v>0</v>
      </c>
      <c r="N88" s="24"/>
      <c r="O88" s="24"/>
      <c r="P88" s="24"/>
      <c r="Q88" s="24">
        <f t="shared" si="13"/>
        <v>44.627949999999998</v>
      </c>
      <c r="R88" s="85">
        <f t="shared" si="11"/>
        <v>2.8166813504074437E-2</v>
      </c>
      <c r="S88" s="324">
        <v>2.385159611130493E-2</v>
      </c>
      <c r="T88" s="25">
        <v>37.790850517100004</v>
      </c>
      <c r="U88" s="26">
        <v>0</v>
      </c>
      <c r="V88" s="27">
        <v>0</v>
      </c>
      <c r="W88" s="27">
        <v>0</v>
      </c>
      <c r="X88" s="27">
        <v>0</v>
      </c>
      <c r="Y88" s="27">
        <v>0</v>
      </c>
      <c r="Z88" s="27"/>
      <c r="AA88" s="27"/>
      <c r="AB88" s="160">
        <f t="shared" si="14"/>
        <v>37.790850517100004</v>
      </c>
      <c r="AC88" s="216">
        <f t="shared" si="12"/>
        <v>2.385159611130493E-2</v>
      </c>
    </row>
    <row r="89" spans="1:29" s="81" customFormat="1" x14ac:dyDescent="0.25">
      <c r="A89" s="70">
        <v>87</v>
      </c>
      <c r="B89" s="71">
        <v>30089</v>
      </c>
      <c r="C89" s="72" t="s">
        <v>427</v>
      </c>
      <c r="D89" s="84" t="s">
        <v>773</v>
      </c>
      <c r="E89" s="89" t="s">
        <v>768</v>
      </c>
      <c r="F89" s="74">
        <f>8552577.40185546/10000</f>
        <v>855.25774018554591</v>
      </c>
      <c r="G89" s="75" t="s">
        <v>11</v>
      </c>
      <c r="H89" s="76">
        <v>0</v>
      </c>
      <c r="I89" s="76">
        <v>0</v>
      </c>
      <c r="J89" s="76">
        <f t="shared" si="16"/>
        <v>0</v>
      </c>
      <c r="K89" s="302">
        <f>ZoneInondable2022!G278</f>
        <v>252.94055</v>
      </c>
      <c r="L89" s="302">
        <f>ZoneInondable2022!G568</f>
        <v>12.534784</v>
      </c>
      <c r="M89" s="302">
        <f>ZoneInondable2022!G275</f>
        <v>39.038094000000001</v>
      </c>
      <c r="N89" s="76"/>
      <c r="O89" s="76"/>
      <c r="P89" s="76"/>
      <c r="Q89" s="76">
        <f t="shared" si="13"/>
        <v>304.51342799999998</v>
      </c>
      <c r="R89" s="77">
        <f t="shared" si="11"/>
        <v>0.35604872507080332</v>
      </c>
      <c r="S89" s="324">
        <v>0.35288752772295656</v>
      </c>
      <c r="T89" s="78">
        <v>0</v>
      </c>
      <c r="U89" s="79">
        <v>0</v>
      </c>
      <c r="V89" s="80">
        <v>0</v>
      </c>
      <c r="W89" s="80">
        <v>250.85973100000001</v>
      </c>
      <c r="X89" s="80">
        <v>12.4864236</v>
      </c>
      <c r="Y89" s="80">
        <v>38.463634899999995</v>
      </c>
      <c r="Z89" s="80"/>
      <c r="AA89" s="80"/>
      <c r="AB89" s="51">
        <f t="shared" si="14"/>
        <v>301.80978950000002</v>
      </c>
      <c r="AC89" s="216">
        <f t="shared" si="12"/>
        <v>0.35288752772295656</v>
      </c>
    </row>
    <row r="90" spans="1:29" s="28" customFormat="1" x14ac:dyDescent="0.25">
      <c r="A90" s="17">
        <v>88</v>
      </c>
      <c r="B90" s="18">
        <v>30090</v>
      </c>
      <c r="C90" s="19" t="s">
        <v>636</v>
      </c>
      <c r="D90" s="20" t="s">
        <v>765</v>
      </c>
      <c r="E90" s="21"/>
      <c r="F90" s="22">
        <f>16372556.8125/10000</f>
        <v>1637.25568125</v>
      </c>
      <c r="G90" s="23" t="s">
        <v>761</v>
      </c>
      <c r="H90" s="302">
        <f>ZoneInondable2022!G656</f>
        <v>38.526060000000001</v>
      </c>
      <c r="I90" s="24">
        <v>0</v>
      </c>
      <c r="J90" s="24">
        <f t="shared" si="16"/>
        <v>0</v>
      </c>
      <c r="K90" s="24">
        <f>W90/10000</f>
        <v>0</v>
      </c>
      <c r="L90" s="24">
        <f>X90/10000</f>
        <v>0</v>
      </c>
      <c r="M90" s="24">
        <f>Y90/10000</f>
        <v>0</v>
      </c>
      <c r="N90" s="24"/>
      <c r="O90" s="24"/>
      <c r="P90" s="24"/>
      <c r="Q90" s="24">
        <f t="shared" si="13"/>
        <v>38.526060000000001</v>
      </c>
      <c r="R90" s="85">
        <f t="shared" si="11"/>
        <v>2.3530875746044996E-2</v>
      </c>
      <c r="S90" s="324">
        <v>2.2990117090729748E-2</v>
      </c>
      <c r="T90" s="25">
        <v>37.640699819399998</v>
      </c>
      <c r="U90" s="26">
        <v>0</v>
      </c>
      <c r="V90" s="27">
        <v>0</v>
      </c>
      <c r="W90" s="27">
        <v>0</v>
      </c>
      <c r="X90" s="27">
        <v>0</v>
      </c>
      <c r="Y90" s="27">
        <v>0</v>
      </c>
      <c r="Z90" s="27"/>
      <c r="AA90" s="27"/>
      <c r="AB90" s="160">
        <f t="shared" si="14"/>
        <v>37.640699819399998</v>
      </c>
      <c r="AC90" s="216">
        <f t="shared" si="12"/>
        <v>2.2990117090729748E-2</v>
      </c>
    </row>
    <row r="91" spans="1:29" s="81" customFormat="1" x14ac:dyDescent="0.25">
      <c r="A91" s="70">
        <v>89</v>
      </c>
      <c r="B91" s="71">
        <v>30091</v>
      </c>
      <c r="C91" s="72" t="s">
        <v>58</v>
      </c>
      <c r="D91" s="84" t="s">
        <v>755</v>
      </c>
      <c r="E91" s="69" t="s">
        <v>790</v>
      </c>
      <c r="F91" s="74">
        <f>8782004.72753906/10000</f>
        <v>878.20047275390607</v>
      </c>
      <c r="G91" s="75" t="s">
        <v>11</v>
      </c>
      <c r="H91" s="76">
        <v>0</v>
      </c>
      <c r="I91" s="76">
        <v>0</v>
      </c>
      <c r="J91" s="76">
        <f t="shared" si="16"/>
        <v>0</v>
      </c>
      <c r="K91" s="302">
        <f>ZoneInondable2022!G227</f>
        <v>15.761554</v>
      </c>
      <c r="L91" s="302">
        <f>ZoneInondable2022!G237</f>
        <v>99.828519999999997</v>
      </c>
      <c r="M91" s="302">
        <f>ZoneInondable2022!G22</f>
        <v>35.330883</v>
      </c>
      <c r="N91" s="76"/>
      <c r="O91" s="76"/>
      <c r="P91" s="76"/>
      <c r="Q91" s="76">
        <f t="shared" si="13"/>
        <v>150.92095699999999</v>
      </c>
      <c r="R91" s="201">
        <f t="shared" si="11"/>
        <v>0.17185251167849444</v>
      </c>
      <c r="S91" s="324">
        <v>0.21447815862515687</v>
      </c>
      <c r="T91" s="78">
        <v>0</v>
      </c>
      <c r="U91" s="79">
        <v>0</v>
      </c>
      <c r="V91" s="80">
        <v>0</v>
      </c>
      <c r="W91" s="80">
        <v>18.978651199999998</v>
      </c>
      <c r="X91" s="80">
        <v>106.36579580000001</v>
      </c>
      <c r="Y91" s="80">
        <v>36.9267033</v>
      </c>
      <c r="Z91" s="80">
        <v>26.083670000000001</v>
      </c>
      <c r="AA91" s="80"/>
      <c r="AB91" s="51">
        <f t="shared" si="14"/>
        <v>188.35482030000003</v>
      </c>
      <c r="AC91" s="216">
        <f t="shared" si="12"/>
        <v>0.21447815862515687</v>
      </c>
    </row>
    <row r="92" spans="1:29" s="81" customFormat="1" x14ac:dyDescent="0.25">
      <c r="A92" s="70">
        <v>90</v>
      </c>
      <c r="B92" s="71">
        <v>30092</v>
      </c>
      <c r="C92" s="72" t="s">
        <v>310</v>
      </c>
      <c r="D92" s="84" t="s">
        <v>765</v>
      </c>
      <c r="E92" s="69"/>
      <c r="F92" s="74">
        <f>9586945.98974609/10000</f>
        <v>958.69459897460899</v>
      </c>
      <c r="G92" s="75" t="s">
        <v>11</v>
      </c>
      <c r="H92" s="76">
        <v>0</v>
      </c>
      <c r="I92" s="76">
        <v>0</v>
      </c>
      <c r="J92" s="76">
        <f t="shared" si="16"/>
        <v>0</v>
      </c>
      <c r="K92" s="302">
        <f>ZoneInondable2022!G185</f>
        <v>64.375060000000005</v>
      </c>
      <c r="L92" s="302">
        <f>ZoneInondable2022!G365</f>
        <v>155.8827</v>
      </c>
      <c r="M92" s="302">
        <f>ZoneInondable2022!G508</f>
        <v>17.765018000000001</v>
      </c>
      <c r="N92" s="76"/>
      <c r="O92" s="76"/>
      <c r="P92" s="76"/>
      <c r="Q92" s="76">
        <f t="shared" si="13"/>
        <v>238.02277800000002</v>
      </c>
      <c r="R92" s="90">
        <f t="shared" si="11"/>
        <v>0.24827800037111092</v>
      </c>
      <c r="S92" s="324">
        <v>1.4024195966348704E-2</v>
      </c>
      <c r="T92" s="78">
        <v>13.4449209279</v>
      </c>
      <c r="U92" s="79">
        <v>0</v>
      </c>
      <c r="V92" s="80">
        <v>0</v>
      </c>
      <c r="W92" s="80">
        <v>0</v>
      </c>
      <c r="X92" s="80">
        <v>0</v>
      </c>
      <c r="Y92" s="80">
        <v>0</v>
      </c>
      <c r="Z92" s="80"/>
      <c r="AA92" s="80"/>
      <c r="AB92" s="51">
        <f t="shared" si="14"/>
        <v>13.4449209279</v>
      </c>
      <c r="AC92" s="216">
        <f t="shared" si="12"/>
        <v>1.4024195966348704E-2</v>
      </c>
    </row>
    <row r="93" spans="1:29" s="28" customFormat="1" x14ac:dyDescent="0.25">
      <c r="A93" s="17">
        <v>91</v>
      </c>
      <c r="B93" s="18">
        <v>30093</v>
      </c>
      <c r="C93" s="19" t="s">
        <v>104</v>
      </c>
      <c r="D93" s="20" t="s">
        <v>755</v>
      </c>
      <c r="E93" s="21"/>
      <c r="F93" s="22">
        <f>27663492.625/10000</f>
        <v>2766.3492624999999</v>
      </c>
      <c r="G93" s="23" t="s">
        <v>761</v>
      </c>
      <c r="H93" s="302">
        <f>ZoneInondable2022!G839</f>
        <v>375.95159999999998</v>
      </c>
      <c r="I93" s="302">
        <f>ZoneInondable2022!G45</f>
        <v>114.236046</v>
      </c>
      <c r="J93" s="24">
        <f t="shared" si="16"/>
        <v>0</v>
      </c>
      <c r="K93" s="24">
        <f t="shared" ref="K93:M94" si="18">W93/10000</f>
        <v>0</v>
      </c>
      <c r="L93" s="24">
        <f t="shared" si="18"/>
        <v>0</v>
      </c>
      <c r="M93" s="24">
        <f t="shared" si="18"/>
        <v>0</v>
      </c>
      <c r="N93" s="24"/>
      <c r="O93" s="24"/>
      <c r="P93" s="24"/>
      <c r="Q93" s="24">
        <f t="shared" si="13"/>
        <v>490.18764599999997</v>
      </c>
      <c r="R93" s="85">
        <f t="shared" si="11"/>
        <v>0.1771965863619869</v>
      </c>
      <c r="S93" s="324">
        <v>0.17785363906485399</v>
      </c>
      <c r="T93" s="25">
        <v>377.625921726</v>
      </c>
      <c r="U93" s="26">
        <v>114.379361534</v>
      </c>
      <c r="V93" s="27">
        <v>0</v>
      </c>
      <c r="W93" s="27">
        <v>0</v>
      </c>
      <c r="X93" s="27">
        <v>0</v>
      </c>
      <c r="Y93" s="27">
        <v>0</v>
      </c>
      <c r="Z93" s="27"/>
      <c r="AA93" s="27"/>
      <c r="AB93" s="160">
        <f t="shared" si="14"/>
        <v>492.00528326</v>
      </c>
      <c r="AC93" s="216">
        <f t="shared" si="12"/>
        <v>0.17785363906485399</v>
      </c>
    </row>
    <row r="94" spans="1:29" s="28" customFormat="1" x14ac:dyDescent="0.25">
      <c r="A94" s="17">
        <v>92</v>
      </c>
      <c r="B94" s="18">
        <v>30094</v>
      </c>
      <c r="C94" s="19" t="s">
        <v>723</v>
      </c>
      <c r="D94" s="20" t="s">
        <v>754</v>
      </c>
      <c r="E94" s="21"/>
      <c r="F94" s="22">
        <f>3234579.42578125/10000</f>
        <v>323.45794257812503</v>
      </c>
      <c r="G94" s="23" t="s">
        <v>761</v>
      </c>
      <c r="H94" s="302">
        <f>ZoneInondable2022!G865</f>
        <v>42.457363000000001</v>
      </c>
      <c r="I94" s="24">
        <v>0</v>
      </c>
      <c r="J94" s="24">
        <f t="shared" si="16"/>
        <v>0</v>
      </c>
      <c r="K94" s="24">
        <f t="shared" si="18"/>
        <v>0</v>
      </c>
      <c r="L94" s="24">
        <f t="shared" si="18"/>
        <v>0</v>
      </c>
      <c r="M94" s="24">
        <f t="shared" si="18"/>
        <v>0</v>
      </c>
      <c r="N94" s="24"/>
      <c r="O94" s="24"/>
      <c r="P94" s="24"/>
      <c r="Q94" s="24">
        <f t="shared" si="13"/>
        <v>42.457363000000001</v>
      </c>
      <c r="R94" s="85">
        <f t="shared" si="11"/>
        <v>0.13126084541808783</v>
      </c>
      <c r="S94" s="324">
        <v>0.12108368113774276</v>
      </c>
      <c r="T94" s="25">
        <v>39.1654783806</v>
      </c>
      <c r="U94" s="26">
        <v>0</v>
      </c>
      <c r="V94" s="27">
        <v>0</v>
      </c>
      <c r="W94" s="27">
        <v>0</v>
      </c>
      <c r="X94" s="27">
        <v>0</v>
      </c>
      <c r="Y94" s="27">
        <v>0</v>
      </c>
      <c r="Z94" s="27"/>
      <c r="AA94" s="27"/>
      <c r="AB94" s="160">
        <f t="shared" si="14"/>
        <v>39.1654783806</v>
      </c>
      <c r="AC94" s="216">
        <f t="shared" si="12"/>
        <v>0.12108368113774276</v>
      </c>
    </row>
    <row r="95" spans="1:29" s="81" customFormat="1" x14ac:dyDescent="0.25">
      <c r="A95" s="70">
        <v>93</v>
      </c>
      <c r="B95" s="71">
        <v>30095</v>
      </c>
      <c r="C95" s="72" t="s">
        <v>92</v>
      </c>
      <c r="D95" s="84" t="s">
        <v>755</v>
      </c>
      <c r="E95" s="69"/>
      <c r="F95" s="74">
        <f>13179726.3950195/10000</f>
        <v>1317.97263950195</v>
      </c>
      <c r="G95" s="75" t="s">
        <v>11</v>
      </c>
      <c r="H95" s="76">
        <v>0</v>
      </c>
      <c r="I95" s="76">
        <v>0</v>
      </c>
      <c r="J95" s="76">
        <f t="shared" si="16"/>
        <v>0</v>
      </c>
      <c r="K95" s="302">
        <f>ZoneInondable2022!G747</f>
        <v>50.146008000000002</v>
      </c>
      <c r="L95" s="302">
        <f>ZoneInondable2022!G858</f>
        <v>3.6811302000000001</v>
      </c>
      <c r="M95" s="302">
        <f>ZoneInondable2022!G38</f>
        <v>19.409903</v>
      </c>
      <c r="N95" s="76"/>
      <c r="O95" s="76"/>
      <c r="P95" s="76"/>
      <c r="Q95" s="76">
        <f t="shared" si="13"/>
        <v>73.237041199999993</v>
      </c>
      <c r="R95" s="77">
        <f t="shared" si="11"/>
        <v>5.556795263039422E-2</v>
      </c>
      <c r="S95" s="324">
        <v>5.594573200297525E-2</v>
      </c>
      <c r="T95" s="78">
        <v>0</v>
      </c>
      <c r="U95" s="79">
        <v>0</v>
      </c>
      <c r="V95" s="80">
        <v>0</v>
      </c>
      <c r="W95" s="80">
        <v>50.360198370900001</v>
      </c>
      <c r="X95" s="80">
        <v>3.6810747382299995</v>
      </c>
      <c r="Y95" s="80">
        <v>19.693670967700001</v>
      </c>
      <c r="Z95" s="80"/>
      <c r="AA95" s="80"/>
      <c r="AB95" s="51">
        <f t="shared" si="14"/>
        <v>73.734944076830004</v>
      </c>
      <c r="AC95" s="216">
        <f t="shared" si="12"/>
        <v>5.594573200297525E-2</v>
      </c>
    </row>
    <row r="96" spans="1:29" s="81" customFormat="1" x14ac:dyDescent="0.25">
      <c r="A96" s="70">
        <v>94</v>
      </c>
      <c r="B96" s="71">
        <v>30096</v>
      </c>
      <c r="C96" s="72" t="s">
        <v>232</v>
      </c>
      <c r="D96" s="84" t="s">
        <v>765</v>
      </c>
      <c r="E96" s="69"/>
      <c r="F96" s="74">
        <f>15550544.8544921/10000</f>
        <v>1555.05448544921</v>
      </c>
      <c r="G96" s="75" t="s">
        <v>11</v>
      </c>
      <c r="H96" s="76">
        <v>0</v>
      </c>
      <c r="I96" s="76">
        <v>0</v>
      </c>
      <c r="J96" s="76">
        <f t="shared" si="16"/>
        <v>0</v>
      </c>
      <c r="K96" s="302">
        <f>ZoneInondable2022!G120</f>
        <v>237.04459</v>
      </c>
      <c r="L96" s="302">
        <f>ZoneInondable2022!G265</f>
        <v>31.073826</v>
      </c>
      <c r="M96" s="302">
        <f>ZoneInondable2022!G299</f>
        <v>21.876767999999998</v>
      </c>
      <c r="N96" s="76"/>
      <c r="O96" s="76"/>
      <c r="P96" s="76"/>
      <c r="Q96" s="76">
        <f t="shared" si="13"/>
        <v>289.99518399999999</v>
      </c>
      <c r="R96" s="77">
        <f t="shared" si="11"/>
        <v>0.18648554549921692</v>
      </c>
      <c r="S96" s="324">
        <v>0.18570437177936433</v>
      </c>
      <c r="T96" s="78">
        <v>0</v>
      </c>
      <c r="U96" s="79">
        <v>0</v>
      </c>
      <c r="V96" s="80">
        <v>0</v>
      </c>
      <c r="W96" s="80">
        <v>235.36641657306399</v>
      </c>
      <c r="X96" s="80">
        <v>31.303123598164198</v>
      </c>
      <c r="Y96" s="80">
        <v>22.110876131800001</v>
      </c>
      <c r="Z96" s="80"/>
      <c r="AA96" s="80"/>
      <c r="AB96" s="51">
        <f t="shared" si="14"/>
        <v>288.78041630302818</v>
      </c>
      <c r="AC96" s="216">
        <f t="shared" si="12"/>
        <v>0.18570437177936433</v>
      </c>
    </row>
    <row r="97" spans="1:29" s="81" customFormat="1" x14ac:dyDescent="0.25">
      <c r="A97" s="70">
        <v>95</v>
      </c>
      <c r="B97" s="71">
        <v>30097</v>
      </c>
      <c r="C97" s="72" t="s">
        <v>445</v>
      </c>
      <c r="D97" s="84" t="s">
        <v>765</v>
      </c>
      <c r="E97" s="69"/>
      <c r="F97" s="74">
        <f>8364894.99804687/10000</f>
        <v>836.48949980468706</v>
      </c>
      <c r="G97" s="75" t="s">
        <v>11</v>
      </c>
      <c r="H97" s="76">
        <v>0</v>
      </c>
      <c r="I97" s="76">
        <v>0</v>
      </c>
      <c r="J97" s="76">
        <f t="shared" si="16"/>
        <v>0</v>
      </c>
      <c r="K97" s="302">
        <f>ZoneInondable2022!G294</f>
        <v>13.634687</v>
      </c>
      <c r="L97" s="302">
        <f>ZoneInondable2022!G729</f>
        <v>2.5681430999999999</v>
      </c>
      <c r="M97" s="302">
        <f>ZoneInondable2022!G778</f>
        <v>12.523889</v>
      </c>
      <c r="N97" s="76"/>
      <c r="O97" s="76"/>
      <c r="P97" s="76"/>
      <c r="Q97" s="76">
        <f t="shared" si="13"/>
        <v>28.7267191</v>
      </c>
      <c r="R97" s="77">
        <f t="shared" si="11"/>
        <v>3.434199605220082E-2</v>
      </c>
      <c r="S97" s="324">
        <v>3.3899267447768625E-2</v>
      </c>
      <c r="T97" s="78">
        <v>0</v>
      </c>
      <c r="U97" s="79">
        <v>0</v>
      </c>
      <c r="V97" s="80">
        <v>0</v>
      </c>
      <c r="W97" s="80">
        <v>13.177794627697399</v>
      </c>
      <c r="X97" s="80">
        <v>2.56786820603189</v>
      </c>
      <c r="Y97" s="80">
        <v>12.610718437400001</v>
      </c>
      <c r="Z97" s="80"/>
      <c r="AA97" s="80"/>
      <c r="AB97" s="51">
        <f t="shared" si="14"/>
        <v>28.356381271129287</v>
      </c>
      <c r="AC97" s="216">
        <f t="shared" si="12"/>
        <v>3.3899267447768625E-2</v>
      </c>
    </row>
    <row r="98" spans="1:29" s="81" customFormat="1" x14ac:dyDescent="0.25">
      <c r="A98" s="70">
        <v>96</v>
      </c>
      <c r="B98" s="71">
        <v>30098</v>
      </c>
      <c r="C98" s="72" t="s">
        <v>298</v>
      </c>
      <c r="D98" s="84" t="s">
        <v>755</v>
      </c>
      <c r="E98" s="69"/>
      <c r="F98" s="74">
        <f>7989348.58496093/10000</f>
        <v>798.93485849609306</v>
      </c>
      <c r="G98" s="75" t="s">
        <v>11</v>
      </c>
      <c r="H98" s="76">
        <v>0</v>
      </c>
      <c r="I98" s="76">
        <v>0</v>
      </c>
      <c r="J98" s="76">
        <f t="shared" si="16"/>
        <v>0</v>
      </c>
      <c r="K98" s="302">
        <f>ZoneInondable2022!G815</f>
        <v>24.392757</v>
      </c>
      <c r="L98" s="302">
        <f>ZoneInondable2022!G169</f>
        <v>0.16055733</v>
      </c>
      <c r="M98" s="302">
        <f>ZoneInondable2022!G710</f>
        <v>10.566072</v>
      </c>
      <c r="N98" s="76"/>
      <c r="O98" s="76"/>
      <c r="P98" s="76"/>
      <c r="Q98" s="76">
        <f t="shared" si="13"/>
        <v>35.119386329999998</v>
      </c>
      <c r="R98" s="77">
        <f t="shared" si="11"/>
        <v>4.395775945501787E-2</v>
      </c>
      <c r="S98" s="324">
        <v>3.9350629137998416E-2</v>
      </c>
      <c r="T98" s="78">
        <v>0</v>
      </c>
      <c r="U98" s="79">
        <v>0</v>
      </c>
      <c r="V98" s="80">
        <v>0</v>
      </c>
      <c r="W98" s="80">
        <v>20.860377763799999</v>
      </c>
      <c r="X98" s="80">
        <v>0.160774631699</v>
      </c>
      <c r="Y98" s="80">
        <v>10.417436926599999</v>
      </c>
      <c r="Z98" s="80"/>
      <c r="AA98" s="80"/>
      <c r="AB98" s="51">
        <f t="shared" si="14"/>
        <v>31.438589322098998</v>
      </c>
      <c r="AC98" s="216">
        <f t="shared" si="12"/>
        <v>3.9350629137998416E-2</v>
      </c>
    </row>
    <row r="99" spans="1:29" s="28" customFormat="1" x14ac:dyDescent="0.25">
      <c r="A99" s="17">
        <v>97</v>
      </c>
      <c r="B99" s="18">
        <v>30099</v>
      </c>
      <c r="C99" s="19" t="s">
        <v>560</v>
      </c>
      <c r="D99" s="20" t="s">
        <v>755</v>
      </c>
      <c r="E99" s="21"/>
      <c r="F99" s="22">
        <f>16701957.3237304/10000</f>
        <v>1670.1957323730401</v>
      </c>
      <c r="G99" s="23" t="s">
        <v>761</v>
      </c>
      <c r="H99" s="302">
        <f>ZoneInondable2022!G477</f>
        <v>83.410445999999993</v>
      </c>
      <c r="I99" s="24">
        <v>0</v>
      </c>
      <c r="J99" s="24">
        <f t="shared" si="16"/>
        <v>0</v>
      </c>
      <c r="K99" s="24">
        <f>W99/10000</f>
        <v>0</v>
      </c>
      <c r="L99" s="24">
        <f>X99/10000</f>
        <v>0</v>
      </c>
      <c r="M99" s="24">
        <f>Y99/10000</f>
        <v>0</v>
      </c>
      <c r="N99" s="24"/>
      <c r="O99" s="24"/>
      <c r="P99" s="24"/>
      <c r="Q99" s="24">
        <f t="shared" si="13"/>
        <v>83.410445999999993</v>
      </c>
      <c r="R99" s="85">
        <f t="shared" si="11"/>
        <v>4.9940521570779689E-2</v>
      </c>
      <c r="S99" s="324">
        <v>4.659346739255036E-2</v>
      </c>
      <c r="T99" s="25">
        <v>77.820210395500013</v>
      </c>
      <c r="U99" s="26">
        <v>0</v>
      </c>
      <c r="V99" s="27">
        <v>0</v>
      </c>
      <c r="W99" s="27">
        <v>0</v>
      </c>
      <c r="X99" s="27">
        <v>0</v>
      </c>
      <c r="Y99" s="27">
        <v>0</v>
      </c>
      <c r="Z99" s="27"/>
      <c r="AA99" s="27"/>
      <c r="AB99" s="160">
        <f t="shared" si="14"/>
        <v>77.820210395500013</v>
      </c>
      <c r="AC99" s="216">
        <f t="shared" si="12"/>
        <v>4.659346739255036E-2</v>
      </c>
    </row>
    <row r="100" spans="1:29" s="81" customFormat="1" ht="26.25" x14ac:dyDescent="0.25">
      <c r="A100" s="70">
        <v>98</v>
      </c>
      <c r="B100" s="71">
        <v>30100</v>
      </c>
      <c r="C100" s="72" t="s">
        <v>695</v>
      </c>
      <c r="D100" s="84" t="s">
        <v>754</v>
      </c>
      <c r="E100" s="69"/>
      <c r="F100" s="74">
        <f>5686829.19482421/10000</f>
        <v>568.68291948242108</v>
      </c>
      <c r="G100" s="75" t="s">
        <v>11</v>
      </c>
      <c r="H100" s="76">
        <v>0</v>
      </c>
      <c r="I100" s="76">
        <v>0</v>
      </c>
      <c r="J100" s="76">
        <f t="shared" si="16"/>
        <v>0</v>
      </c>
      <c r="K100" s="36">
        <f>ZoneInondable2022!G775-X100</f>
        <v>208.59194206780919</v>
      </c>
      <c r="L100" s="36">
        <f>ZoneInondable2022!G766+X100</f>
        <v>19.420082932190802</v>
      </c>
      <c r="M100" s="302">
        <f>ZoneInondable2022!G868</f>
        <v>21.21923</v>
      </c>
      <c r="N100" s="76"/>
      <c r="O100" s="76"/>
      <c r="P100" s="76"/>
      <c r="Q100" s="76">
        <f t="shared" si="13"/>
        <v>249.231255</v>
      </c>
      <c r="R100" s="201">
        <f t="shared" si="11"/>
        <v>0.43826049009320411</v>
      </c>
      <c r="S100" s="324">
        <v>0.45089096446370053</v>
      </c>
      <c r="T100" s="78">
        <v>0</v>
      </c>
      <c r="U100" s="79">
        <v>0</v>
      </c>
      <c r="V100" s="80">
        <v>0</v>
      </c>
      <c r="W100" s="80">
        <v>218.065236680471</v>
      </c>
      <c r="X100" s="80">
        <v>16.6420179321908</v>
      </c>
      <c r="Y100" s="80">
        <v>21.706735426799998</v>
      </c>
      <c r="Z100" s="80"/>
      <c r="AA100" s="80"/>
      <c r="AB100" s="51">
        <f t="shared" si="14"/>
        <v>256.41399003946179</v>
      </c>
      <c r="AC100" s="216">
        <f t="shared" si="12"/>
        <v>0.45089096446370053</v>
      </c>
    </row>
    <row r="101" spans="1:29" s="81" customFormat="1" x14ac:dyDescent="0.25">
      <c r="A101" s="70">
        <v>99</v>
      </c>
      <c r="B101" s="71">
        <v>30101</v>
      </c>
      <c r="C101" s="72" t="s">
        <v>166</v>
      </c>
      <c r="D101" s="84" t="s">
        <v>754</v>
      </c>
      <c r="E101" s="69"/>
      <c r="F101" s="74">
        <f>5861221.25878906/10000</f>
        <v>586.12212587890599</v>
      </c>
      <c r="G101" s="75" t="s">
        <v>11</v>
      </c>
      <c r="H101" s="76">
        <v>0</v>
      </c>
      <c r="I101" s="76">
        <v>0</v>
      </c>
      <c r="J101" s="76">
        <f t="shared" si="16"/>
        <v>0</v>
      </c>
      <c r="K101" s="36">
        <f>ZoneInondable2022!G530-X101</f>
        <v>53.312808467847489</v>
      </c>
      <c r="L101" s="36">
        <f>ZoneInondable2022!G80+X101</f>
        <v>29.672475272152504</v>
      </c>
      <c r="M101" s="302">
        <f>ZoneInondable2022!G502</f>
        <v>15.98922</v>
      </c>
      <c r="N101" s="76"/>
      <c r="O101" s="76"/>
      <c r="P101" s="76"/>
      <c r="Q101" s="76">
        <f t="shared" si="13"/>
        <v>98.974503740000003</v>
      </c>
      <c r="R101" s="77">
        <f t="shared" si="11"/>
        <v>0.1688632784363584</v>
      </c>
      <c r="S101" s="324">
        <v>0.16469393154131834</v>
      </c>
      <c r="T101" s="78">
        <v>0</v>
      </c>
      <c r="U101" s="79">
        <v>0</v>
      </c>
      <c r="V101" s="80">
        <v>0</v>
      </c>
      <c r="W101" s="80">
        <v>47.816162025200001</v>
      </c>
      <c r="X101" s="80">
        <v>29.350811532152502</v>
      </c>
      <c r="Y101" s="80">
        <v>19.363783717</v>
      </c>
      <c r="Z101" s="80"/>
      <c r="AA101" s="80"/>
      <c r="AB101" s="51">
        <f t="shared" si="14"/>
        <v>96.53075727435251</v>
      </c>
      <c r="AC101" s="216">
        <f t="shared" si="12"/>
        <v>0.16469393154131834</v>
      </c>
    </row>
    <row r="102" spans="1:29" s="81" customFormat="1" x14ac:dyDescent="0.25">
      <c r="A102" s="70">
        <v>100</v>
      </c>
      <c r="B102" s="71">
        <v>30102</v>
      </c>
      <c r="C102" s="72" t="s">
        <v>530</v>
      </c>
      <c r="D102" s="84" t="s">
        <v>754</v>
      </c>
      <c r="E102" s="69"/>
      <c r="F102" s="74">
        <f>11704603.9248046/10000</f>
        <v>1170.4603924804601</v>
      </c>
      <c r="G102" s="75" t="s">
        <v>11</v>
      </c>
      <c r="H102" s="76">
        <v>0</v>
      </c>
      <c r="I102" s="76">
        <v>0</v>
      </c>
      <c r="J102" s="76">
        <f t="shared" si="16"/>
        <v>0</v>
      </c>
      <c r="K102" s="302">
        <f>ZoneInondable2022!G759</f>
        <v>468.86149999999998</v>
      </c>
      <c r="L102" s="302">
        <f>ZoneInondable2022!G845</f>
        <v>0.33571200000000001</v>
      </c>
      <c r="M102" s="302">
        <f>ZoneInondable2022!G416</f>
        <v>11.539323</v>
      </c>
      <c r="N102" s="76"/>
      <c r="O102" s="76"/>
      <c r="P102" s="76"/>
      <c r="Q102" s="76">
        <f t="shared" si="13"/>
        <v>480.736535</v>
      </c>
      <c r="R102" s="77">
        <f t="shared" si="11"/>
        <v>0.41072430821961842</v>
      </c>
      <c r="S102" s="324">
        <v>0.41039971013288074</v>
      </c>
      <c r="T102" s="78">
        <v>0</v>
      </c>
      <c r="U102" s="79">
        <v>0</v>
      </c>
      <c r="V102" s="80">
        <v>0</v>
      </c>
      <c r="W102" s="80">
        <v>461.58213000100807</v>
      </c>
      <c r="X102" s="80">
        <v>3.0207009548313102</v>
      </c>
      <c r="Y102" s="80">
        <v>15.7537748401593</v>
      </c>
      <c r="Z102" s="80"/>
      <c r="AA102" s="80"/>
      <c r="AB102" s="51">
        <f t="shared" si="14"/>
        <v>480.35660579599863</v>
      </c>
      <c r="AC102" s="216">
        <f t="shared" si="12"/>
        <v>0.41039971013288074</v>
      </c>
    </row>
    <row r="103" spans="1:29" s="81" customFormat="1" ht="18" customHeight="1" x14ac:dyDescent="0.25">
      <c r="A103" s="70">
        <v>101</v>
      </c>
      <c r="B103" s="71">
        <v>30103</v>
      </c>
      <c r="C103" s="72" t="s">
        <v>17</v>
      </c>
      <c r="D103" s="84" t="s">
        <v>754</v>
      </c>
      <c r="E103" s="69" t="s">
        <v>768</v>
      </c>
      <c r="F103" s="74">
        <f>11387044.0693359/10000</f>
        <v>1138.70440693359</v>
      </c>
      <c r="G103" s="75" t="s">
        <v>11</v>
      </c>
      <c r="H103" s="76">
        <v>0</v>
      </c>
      <c r="I103" s="76">
        <v>0</v>
      </c>
      <c r="J103" s="76">
        <f t="shared" si="16"/>
        <v>0</v>
      </c>
      <c r="K103" s="302">
        <f>ZoneInondable2022!G4</f>
        <v>54.567900000000002</v>
      </c>
      <c r="L103" s="302">
        <f>ZoneInondable2022!G29</f>
        <v>35.705539999999999</v>
      </c>
      <c r="M103" s="302">
        <f>ZoneInondable2022!G166</f>
        <v>73.914370000000005</v>
      </c>
      <c r="N103" s="76"/>
      <c r="O103" s="76"/>
      <c r="P103" s="76"/>
      <c r="Q103" s="76">
        <f t="shared" si="13"/>
        <v>164.18781000000001</v>
      </c>
      <c r="R103" s="77">
        <f t="shared" si="11"/>
        <v>0.14418826255546016</v>
      </c>
      <c r="S103" s="324">
        <v>0.14411292728892594</v>
      </c>
      <c r="T103" s="78">
        <v>0</v>
      </c>
      <c r="U103" s="79">
        <v>0</v>
      </c>
      <c r="V103" s="80">
        <v>0</v>
      </c>
      <c r="W103" s="80">
        <v>54.575581799999995</v>
      </c>
      <c r="X103" s="80">
        <v>35.764850299999999</v>
      </c>
      <c r="Y103" s="80">
        <v>73.761593300000001</v>
      </c>
      <c r="Z103" s="80"/>
      <c r="AA103" s="80"/>
      <c r="AB103" s="51">
        <f t="shared" si="14"/>
        <v>164.1020254</v>
      </c>
      <c r="AC103" s="216">
        <f t="shared" si="12"/>
        <v>0.14411292728892594</v>
      </c>
    </row>
    <row r="104" spans="1:29" s="199" customFormat="1" ht="18" customHeight="1" x14ac:dyDescent="0.25">
      <c r="A104" s="186">
        <v>102</v>
      </c>
      <c r="B104" s="187">
        <v>30104</v>
      </c>
      <c r="C104" s="188" t="s">
        <v>487</v>
      </c>
      <c r="D104" s="189" t="s">
        <v>754</v>
      </c>
      <c r="E104" s="190" t="s">
        <v>791</v>
      </c>
      <c r="F104" s="191">
        <f>7502637.22460937/10000</f>
        <v>750.26372246093706</v>
      </c>
      <c r="G104" s="192" t="s">
        <v>781</v>
      </c>
      <c r="H104" s="36">
        <f>636982/10000-K104-L104-M104</f>
        <v>8.568078000000007</v>
      </c>
      <c r="I104" s="193">
        <v>0</v>
      </c>
      <c r="J104" s="193">
        <f t="shared" si="16"/>
        <v>0</v>
      </c>
      <c r="K104" s="36">
        <f>ZoneInondable2022!G342-X104</f>
        <v>17.603208382808194</v>
      </c>
      <c r="L104" s="36">
        <f>0+X104</f>
        <v>23.584478617191802</v>
      </c>
      <c r="M104" s="302">
        <f>ZoneInondable2022!G565</f>
        <v>13.942435</v>
      </c>
      <c r="N104" s="193"/>
      <c r="O104" s="193"/>
      <c r="P104" s="193"/>
      <c r="Q104" s="193">
        <f t="shared" si="13"/>
        <v>63.6982</v>
      </c>
      <c r="R104" s="194">
        <f t="shared" si="11"/>
        <v>8.4901079571145718E-2</v>
      </c>
      <c r="S104" s="324">
        <v>8.8810284394127692E-2</v>
      </c>
      <c r="T104" s="195">
        <v>11.600690309070949</v>
      </c>
      <c r="U104" s="196">
        <v>0</v>
      </c>
      <c r="V104" s="197">
        <v>0</v>
      </c>
      <c r="W104" s="197">
        <v>9.1336801524899602</v>
      </c>
      <c r="X104" s="197">
        <v>23.584478617191802</v>
      </c>
      <c r="Y104" s="197">
        <v>22.3122854836</v>
      </c>
      <c r="Z104" s="197"/>
      <c r="AA104" s="197"/>
      <c r="AB104" s="198">
        <f t="shared" si="14"/>
        <v>66.631134562352713</v>
      </c>
      <c r="AC104" s="216">
        <f t="shared" si="12"/>
        <v>8.8810284394127692E-2</v>
      </c>
    </row>
    <row r="105" spans="1:29" s="28" customFormat="1" x14ac:dyDescent="0.25">
      <c r="A105" s="17">
        <v>103</v>
      </c>
      <c r="B105" s="18">
        <v>30105</v>
      </c>
      <c r="C105" s="19" t="s">
        <v>699</v>
      </c>
      <c r="D105" s="20" t="s">
        <v>785</v>
      </c>
      <c r="E105" s="21"/>
      <c r="F105" s="22">
        <f>59246712.8300781/10000</f>
        <v>5924.6712830078104</v>
      </c>
      <c r="G105" s="23" t="s">
        <v>761</v>
      </c>
      <c r="H105" s="302">
        <f>ZoneInondable2022!G773</f>
        <v>212.61105000000001</v>
      </c>
      <c r="I105" s="302">
        <f>ZoneInondable2022!G840</f>
        <v>1.4627969000000001</v>
      </c>
      <c r="J105" s="24">
        <f t="shared" si="16"/>
        <v>0</v>
      </c>
      <c r="K105" s="24">
        <f t="shared" ref="K105:M106" si="19">W105/10000</f>
        <v>0</v>
      </c>
      <c r="L105" s="24">
        <f t="shared" si="19"/>
        <v>0</v>
      </c>
      <c r="M105" s="24">
        <f t="shared" si="19"/>
        <v>0</v>
      </c>
      <c r="N105" s="24"/>
      <c r="O105" s="24"/>
      <c r="P105" s="24"/>
      <c r="Q105" s="24">
        <f t="shared" si="13"/>
        <v>214.07384690000001</v>
      </c>
      <c r="R105" s="85">
        <f t="shared" si="11"/>
        <v>3.6132611696782606E-2</v>
      </c>
      <c r="S105" s="324">
        <v>3.2355972531807602E-2</v>
      </c>
      <c r="T105" s="25">
        <v>190.23570433800001</v>
      </c>
      <c r="U105" s="26">
        <v>1.4627969549900002</v>
      </c>
      <c r="V105" s="27">
        <v>0</v>
      </c>
      <c r="W105" s="27">
        <v>0</v>
      </c>
      <c r="X105" s="27">
        <v>0</v>
      </c>
      <c r="Y105" s="27">
        <v>0</v>
      </c>
      <c r="Z105" s="27"/>
      <c r="AA105" s="27"/>
      <c r="AB105" s="160">
        <f t="shared" si="14"/>
        <v>191.69850129299002</v>
      </c>
      <c r="AC105" s="216">
        <f t="shared" si="12"/>
        <v>3.2355972531807602E-2</v>
      </c>
    </row>
    <row r="106" spans="1:29" s="28" customFormat="1" ht="39" x14ac:dyDescent="0.25">
      <c r="A106" s="17">
        <v>104</v>
      </c>
      <c r="B106" s="18">
        <v>30106</v>
      </c>
      <c r="C106" s="19" t="s">
        <v>522</v>
      </c>
      <c r="D106" s="20" t="s">
        <v>755</v>
      </c>
      <c r="E106" s="21"/>
      <c r="F106" s="22">
        <f>16302410.515625/10000</f>
        <v>1630.2410515624999</v>
      </c>
      <c r="G106" s="23" t="s">
        <v>761</v>
      </c>
      <c r="H106" s="302">
        <f>ZoneInondable2022!G397</f>
        <v>113.169785</v>
      </c>
      <c r="I106" s="24">
        <v>0</v>
      </c>
      <c r="J106" s="24">
        <f t="shared" si="16"/>
        <v>0</v>
      </c>
      <c r="K106" s="24">
        <f t="shared" si="19"/>
        <v>0</v>
      </c>
      <c r="L106" s="24">
        <f t="shared" si="19"/>
        <v>0</v>
      </c>
      <c r="M106" s="24">
        <f t="shared" si="19"/>
        <v>0</v>
      </c>
      <c r="N106" s="24"/>
      <c r="O106" s="24"/>
      <c r="P106" s="24"/>
      <c r="Q106" s="24">
        <f t="shared" si="13"/>
        <v>113.169785</v>
      </c>
      <c r="R106" s="85">
        <f t="shared" si="11"/>
        <v>6.9419049956773407E-2</v>
      </c>
      <c r="S106" s="324">
        <v>7.0466108789185938E-2</v>
      </c>
      <c r="T106" s="25">
        <v>114.876743292</v>
      </c>
      <c r="U106" s="26">
        <v>0</v>
      </c>
      <c r="V106" s="27">
        <v>0</v>
      </c>
      <c r="W106" s="27">
        <v>0</v>
      </c>
      <c r="X106" s="27">
        <v>0</v>
      </c>
      <c r="Y106" s="27">
        <v>0</v>
      </c>
      <c r="Z106" s="27"/>
      <c r="AA106" s="27"/>
      <c r="AB106" s="160">
        <f t="shared" si="14"/>
        <v>114.876743292</v>
      </c>
      <c r="AC106" s="216">
        <f t="shared" si="12"/>
        <v>7.0466108789185938E-2</v>
      </c>
    </row>
    <row r="107" spans="1:29" s="81" customFormat="1" x14ac:dyDescent="0.25">
      <c r="A107" s="70">
        <v>105</v>
      </c>
      <c r="B107" s="71">
        <v>30107</v>
      </c>
      <c r="C107" s="72" t="s">
        <v>348</v>
      </c>
      <c r="D107" s="84" t="s">
        <v>754</v>
      </c>
      <c r="E107" s="69"/>
      <c r="F107" s="74">
        <f>11573740.864746/10000</f>
        <v>1157.3740864746001</v>
      </c>
      <c r="G107" s="75" t="s">
        <v>11</v>
      </c>
      <c r="H107" s="76">
        <v>0</v>
      </c>
      <c r="I107" s="76">
        <v>0</v>
      </c>
      <c r="J107" s="76">
        <f t="shared" si="16"/>
        <v>0</v>
      </c>
      <c r="K107" s="302">
        <f>ZoneInondable2022!G696</f>
        <v>8.7039980000000003</v>
      </c>
      <c r="L107" s="302">
        <f>ZoneInondable2022!G519</f>
        <v>9.9831350000000008</v>
      </c>
      <c r="M107" s="302">
        <f>ZoneInondable2022!G211</f>
        <v>17.835756</v>
      </c>
      <c r="N107" s="76"/>
      <c r="O107" s="76"/>
      <c r="P107" s="76"/>
      <c r="Q107" s="76">
        <f t="shared" si="13"/>
        <v>36.522889000000006</v>
      </c>
      <c r="R107" s="77">
        <f t="shared" si="11"/>
        <v>3.1556684590416176E-2</v>
      </c>
      <c r="S107" s="324">
        <v>3.117533148673262E-2</v>
      </c>
      <c r="T107" s="78">
        <v>0</v>
      </c>
      <c r="U107" s="79">
        <v>0</v>
      </c>
      <c r="V107" s="80">
        <v>0</v>
      </c>
      <c r="W107" s="80">
        <v>8.7043667000000013</v>
      </c>
      <c r="X107" s="80">
        <v>9.7632024000000008</v>
      </c>
      <c r="Y107" s="80">
        <v>17.613951699999998</v>
      </c>
      <c r="Z107" s="80"/>
      <c r="AA107" s="80"/>
      <c r="AB107" s="51">
        <f t="shared" si="14"/>
        <v>36.0815208</v>
      </c>
      <c r="AC107" s="216">
        <f t="shared" si="12"/>
        <v>3.117533148673262E-2</v>
      </c>
    </row>
    <row r="108" spans="1:29" s="28" customFormat="1" x14ac:dyDescent="0.25">
      <c r="A108" s="17">
        <v>106</v>
      </c>
      <c r="B108" s="18">
        <v>30108</v>
      </c>
      <c r="C108" s="19" t="s">
        <v>528</v>
      </c>
      <c r="D108" s="20" t="s">
        <v>754</v>
      </c>
      <c r="E108" s="21"/>
      <c r="F108" s="22">
        <f>19453862.4360351/10000</f>
        <v>1945.3862436035101</v>
      </c>
      <c r="G108" s="23" t="s">
        <v>761</v>
      </c>
      <c r="H108" s="302">
        <f>ZoneInondable2022!G405</f>
        <v>40.255516</v>
      </c>
      <c r="I108" s="24">
        <v>0</v>
      </c>
      <c r="J108" s="24">
        <f t="shared" si="16"/>
        <v>0</v>
      </c>
      <c r="K108" s="24">
        <f>W108/10000</f>
        <v>0</v>
      </c>
      <c r="L108" s="24">
        <f>X108/10000</f>
        <v>0</v>
      </c>
      <c r="M108" s="24">
        <f>Y108/10000</f>
        <v>0</v>
      </c>
      <c r="N108" s="24"/>
      <c r="O108" s="24"/>
      <c r="P108" s="24"/>
      <c r="Q108" s="24">
        <f t="shared" si="13"/>
        <v>40.255516</v>
      </c>
      <c r="R108" s="85">
        <f t="shared" si="11"/>
        <v>2.0692814155729423E-2</v>
      </c>
      <c r="S108" s="324">
        <v>2.0311640074264534E-2</v>
      </c>
      <c r="T108" s="25">
        <v>39.513985185500005</v>
      </c>
      <c r="U108" s="26">
        <v>0</v>
      </c>
      <c r="V108" s="27">
        <v>0</v>
      </c>
      <c r="W108" s="27">
        <v>0</v>
      </c>
      <c r="X108" s="27">
        <v>0</v>
      </c>
      <c r="Y108" s="27">
        <v>0</v>
      </c>
      <c r="Z108" s="27"/>
      <c r="AA108" s="27"/>
      <c r="AB108" s="160">
        <f t="shared" si="14"/>
        <v>39.513985185500005</v>
      </c>
      <c r="AC108" s="216">
        <f t="shared" si="12"/>
        <v>2.0311640074264534E-2</v>
      </c>
    </row>
    <row r="109" spans="1:29" s="149" customFormat="1" x14ac:dyDescent="0.25">
      <c r="A109" s="138">
        <v>107</v>
      </c>
      <c r="B109" s="139">
        <v>30109</v>
      </c>
      <c r="C109" s="140" t="s">
        <v>707</v>
      </c>
      <c r="D109" s="141" t="s">
        <v>754</v>
      </c>
      <c r="E109" s="137"/>
      <c r="F109" s="142">
        <f>6868549.796875/10000</f>
        <v>686.85497968749996</v>
      </c>
      <c r="G109" s="143" t="s">
        <v>778</v>
      </c>
      <c r="H109" s="144">
        <v>0</v>
      </c>
      <c r="I109" s="144">
        <v>0</v>
      </c>
      <c r="J109" s="144">
        <f t="shared" si="16"/>
        <v>0</v>
      </c>
      <c r="K109" s="302">
        <f>ZoneInondable2022!G784</f>
        <v>1.1274850000000001</v>
      </c>
      <c r="L109" s="144">
        <f>X109/10000</f>
        <v>0</v>
      </c>
      <c r="M109" s="302">
        <f>ZoneInondable2022!G814</f>
        <v>0.48811232999999998</v>
      </c>
      <c r="N109" s="144"/>
      <c r="O109" s="144"/>
      <c r="P109" s="144"/>
      <c r="Q109" s="144">
        <f t="shared" si="13"/>
        <v>1.6155973299999999</v>
      </c>
      <c r="R109" s="145">
        <f t="shared" si="11"/>
        <v>2.352166582143806E-3</v>
      </c>
      <c r="S109" s="324">
        <v>4.7267082368349381E-2</v>
      </c>
      <c r="T109" s="146">
        <v>32.465630900000001</v>
      </c>
      <c r="U109" s="147">
        <v>0</v>
      </c>
      <c r="V109" s="148">
        <v>0</v>
      </c>
      <c r="W109" s="148">
        <v>0</v>
      </c>
      <c r="X109" s="148">
        <v>0</v>
      </c>
      <c r="Y109" s="148">
        <v>0</v>
      </c>
      <c r="Z109" s="148"/>
      <c r="AA109" s="148"/>
      <c r="AB109" s="162">
        <f t="shared" si="14"/>
        <v>32.465630900000001</v>
      </c>
      <c r="AC109" s="216">
        <f t="shared" si="12"/>
        <v>4.7267082368349381E-2</v>
      </c>
    </row>
    <row r="110" spans="1:29" s="102" customFormat="1" x14ac:dyDescent="0.25">
      <c r="A110" s="91">
        <v>108</v>
      </c>
      <c r="B110" s="92">
        <v>30110</v>
      </c>
      <c r="C110" s="93" t="s">
        <v>150</v>
      </c>
      <c r="D110" s="94" t="s">
        <v>754</v>
      </c>
      <c r="E110" s="95"/>
      <c r="F110" s="96">
        <f>11027196.0864257/10000</f>
        <v>1102.7196086425699</v>
      </c>
      <c r="G110" s="97" t="s">
        <v>837</v>
      </c>
      <c r="H110" s="98">
        <v>0</v>
      </c>
      <c r="I110" s="98">
        <v>0</v>
      </c>
      <c r="J110" s="302">
        <f>ZoneInondable2022!G232</f>
        <v>6.4995665999999996</v>
      </c>
      <c r="K110" s="302">
        <f>ZoneInondable2022!G553</f>
        <v>12.130439000000001</v>
      </c>
      <c r="L110" s="302">
        <f>ZoneInondable2022!G483</f>
        <v>38.389797000000002</v>
      </c>
      <c r="M110" s="302">
        <f>ZoneInondable2022!G71</f>
        <v>32.643611999999997</v>
      </c>
      <c r="N110" s="98"/>
      <c r="O110" s="98"/>
      <c r="P110" s="98"/>
      <c r="Q110" s="98">
        <f t="shared" si="13"/>
        <v>89.66341460000001</v>
      </c>
      <c r="R110" s="90">
        <f t="shared" si="11"/>
        <v>8.1311163687724952E-2</v>
      </c>
      <c r="S110" s="324">
        <v>0</v>
      </c>
      <c r="T110" s="99">
        <v>0</v>
      </c>
      <c r="U110" s="100">
        <v>0</v>
      </c>
      <c r="V110" s="101">
        <v>0</v>
      </c>
      <c r="W110" s="101">
        <v>0</v>
      </c>
      <c r="X110" s="101">
        <v>0</v>
      </c>
      <c r="Y110" s="101">
        <v>0</v>
      </c>
      <c r="Z110" s="101"/>
      <c r="AA110" s="101"/>
      <c r="AB110" s="161">
        <f t="shared" si="14"/>
        <v>0</v>
      </c>
      <c r="AC110" s="216">
        <f t="shared" si="12"/>
        <v>0</v>
      </c>
    </row>
    <row r="111" spans="1:29" s="81" customFormat="1" x14ac:dyDescent="0.25">
      <c r="A111" s="70">
        <v>109</v>
      </c>
      <c r="B111" s="71">
        <v>30111</v>
      </c>
      <c r="C111" s="72" t="s">
        <v>200</v>
      </c>
      <c r="D111" s="84" t="s">
        <v>754</v>
      </c>
      <c r="E111" s="69"/>
      <c r="F111" s="74">
        <f>3887622.22216796/10000</f>
        <v>388.76222221679598</v>
      </c>
      <c r="G111" s="75" t="s">
        <v>11</v>
      </c>
      <c r="H111" s="76">
        <v>0</v>
      </c>
      <c r="I111" s="76">
        <v>0</v>
      </c>
      <c r="J111" s="76">
        <f t="shared" ref="J111:J120" si="20">V111/10000</f>
        <v>0</v>
      </c>
      <c r="K111" s="302">
        <f>ZoneInondable2022!G224</f>
        <v>31.199074</v>
      </c>
      <c r="L111" s="302">
        <f>ZoneInondable2022!G172</f>
        <v>13.588198999999999</v>
      </c>
      <c r="M111" s="302">
        <f>ZoneInondable2022!G100</f>
        <v>34.194409999999998</v>
      </c>
      <c r="N111" s="76"/>
      <c r="O111" s="76"/>
      <c r="P111" s="76"/>
      <c r="Q111" s="76">
        <f t="shared" si="13"/>
        <v>78.981683000000004</v>
      </c>
      <c r="R111" s="77">
        <f t="shared" si="11"/>
        <v>0.20316192903114777</v>
      </c>
      <c r="S111" s="324">
        <v>0.19962111070741576</v>
      </c>
      <c r="T111" s="78">
        <v>0</v>
      </c>
      <c r="U111" s="79">
        <v>0</v>
      </c>
      <c r="V111" s="80">
        <v>0</v>
      </c>
      <c r="W111" s="80">
        <v>29.6812252</v>
      </c>
      <c r="X111" s="80">
        <v>13.815744500000001</v>
      </c>
      <c r="Y111" s="80">
        <v>34.108176899999997</v>
      </c>
      <c r="Z111" s="80"/>
      <c r="AA111" s="80"/>
      <c r="AB111" s="51">
        <f t="shared" si="14"/>
        <v>77.605146599999998</v>
      </c>
      <c r="AC111" s="216">
        <f t="shared" si="12"/>
        <v>0.19962111070741576</v>
      </c>
    </row>
    <row r="112" spans="1:29" s="107" customFormat="1" x14ac:dyDescent="0.25">
      <c r="A112" s="136">
        <v>110</v>
      </c>
      <c r="B112" s="71">
        <v>30112</v>
      </c>
      <c r="C112" s="72" t="s">
        <v>656</v>
      </c>
      <c r="D112" s="84" t="s">
        <v>754</v>
      </c>
      <c r="E112" s="69"/>
      <c r="F112" s="74">
        <f>9366551.2109375/10000</f>
        <v>936.65512109375004</v>
      </c>
      <c r="G112" s="75" t="s">
        <v>11</v>
      </c>
      <c r="H112" s="76">
        <v>0</v>
      </c>
      <c r="I112" s="76">
        <v>0</v>
      </c>
      <c r="J112" s="76">
        <f t="shared" si="20"/>
        <v>0</v>
      </c>
      <c r="K112" s="302">
        <f>ZoneInondable2022!G767</f>
        <v>31.655488999999999</v>
      </c>
      <c r="L112" s="302">
        <f>ZoneInondable2022!G735</f>
        <v>7.509347</v>
      </c>
      <c r="M112" s="302">
        <f>ZoneInondable2022!G673</f>
        <v>16.388033</v>
      </c>
      <c r="N112" s="76"/>
      <c r="O112" s="76"/>
      <c r="P112" s="76"/>
      <c r="Q112" s="76">
        <f t="shared" si="13"/>
        <v>55.552869000000001</v>
      </c>
      <c r="R112" s="77">
        <f t="shared" si="11"/>
        <v>5.9309843878427589E-2</v>
      </c>
      <c r="S112" s="324">
        <v>5.7988393135544797E-2</v>
      </c>
      <c r="T112" s="105">
        <v>0</v>
      </c>
      <c r="U112" s="76">
        <v>0</v>
      </c>
      <c r="V112" s="106">
        <v>0</v>
      </c>
      <c r="W112" s="106">
        <v>19.259207489799998</v>
      </c>
      <c r="X112" s="106">
        <v>11.8815662592057</v>
      </c>
      <c r="Y112" s="106">
        <v>23.174351645399998</v>
      </c>
      <c r="Z112" s="106"/>
      <c r="AA112" s="106"/>
      <c r="AB112" s="164">
        <f t="shared" si="14"/>
        <v>54.315125394405698</v>
      </c>
      <c r="AC112" s="216">
        <f t="shared" si="12"/>
        <v>5.7988393135544797E-2</v>
      </c>
    </row>
    <row r="113" spans="1:29" s="81" customFormat="1" ht="27.75" customHeight="1" x14ac:dyDescent="0.25">
      <c r="A113" s="70">
        <v>111</v>
      </c>
      <c r="B113" s="71">
        <v>30113</v>
      </c>
      <c r="C113" s="72" t="s">
        <v>792</v>
      </c>
      <c r="D113" s="84" t="s">
        <v>765</v>
      </c>
      <c r="E113" s="69"/>
      <c r="F113" s="74">
        <f>10621031.5922851/10000</f>
        <v>1062.1031592285101</v>
      </c>
      <c r="G113" s="75" t="s">
        <v>11</v>
      </c>
      <c r="H113" s="76">
        <v>0</v>
      </c>
      <c r="I113" s="76">
        <v>0</v>
      </c>
      <c r="J113" s="76">
        <f t="shared" si="20"/>
        <v>0</v>
      </c>
      <c r="K113" s="302">
        <f>ZoneInondable2022!G355</f>
        <v>20.634589999999999</v>
      </c>
      <c r="L113" s="302">
        <f>ZoneInondable2022!G138</f>
        <v>9.8799240000000008</v>
      </c>
      <c r="M113" s="302">
        <f>ZoneInondable2022!G300</f>
        <v>4.0684560000000003</v>
      </c>
      <c r="N113" s="76"/>
      <c r="O113" s="76"/>
      <c r="P113" s="76"/>
      <c r="Q113" s="76">
        <f t="shared" si="13"/>
        <v>34.582969999999996</v>
      </c>
      <c r="R113" s="88">
        <f t="shared" si="11"/>
        <v>3.2560839029158295E-2</v>
      </c>
      <c r="S113" s="324">
        <v>0</v>
      </c>
      <c r="T113" s="78">
        <v>0</v>
      </c>
      <c r="U113" s="79">
        <v>0</v>
      </c>
      <c r="V113" s="80">
        <v>0</v>
      </c>
      <c r="W113" s="80">
        <v>0</v>
      </c>
      <c r="X113" s="80">
        <v>0</v>
      </c>
      <c r="Y113" s="80">
        <v>0</v>
      </c>
      <c r="Z113" s="80"/>
      <c r="AA113" s="80"/>
      <c r="AB113" s="164">
        <f t="shared" si="14"/>
        <v>0</v>
      </c>
      <c r="AC113" s="216">
        <f t="shared" si="12"/>
        <v>0</v>
      </c>
    </row>
    <row r="114" spans="1:29" s="81" customFormat="1" x14ac:dyDescent="0.25">
      <c r="A114" s="70">
        <v>112</v>
      </c>
      <c r="B114" s="71">
        <v>30114</v>
      </c>
      <c r="C114" s="72" t="s">
        <v>495</v>
      </c>
      <c r="D114" s="84" t="s">
        <v>755</v>
      </c>
      <c r="E114" s="69"/>
      <c r="F114" s="74">
        <f>14599464.0263671/10000</f>
        <v>1459.94640263671</v>
      </c>
      <c r="G114" s="75" t="s">
        <v>11</v>
      </c>
      <c r="H114" s="76">
        <v>0</v>
      </c>
      <c r="I114" s="76">
        <v>0</v>
      </c>
      <c r="J114" s="76">
        <f t="shared" si="20"/>
        <v>0</v>
      </c>
      <c r="K114" s="302">
        <f>ZoneInondable2022!G357</f>
        <v>171.29642999999999</v>
      </c>
      <c r="L114" s="302">
        <f>ZoneInondable2022!G763</f>
        <v>8.4119150000000004E-2</v>
      </c>
      <c r="M114" s="302">
        <f>ZoneInondable2022!G535</f>
        <v>23.100680000000001</v>
      </c>
      <c r="N114" s="76"/>
      <c r="O114" s="76"/>
      <c r="P114" s="76"/>
      <c r="Q114" s="76">
        <f t="shared" si="13"/>
        <v>194.48122914999999</v>
      </c>
      <c r="R114" s="77">
        <f t="shared" si="11"/>
        <v>0.13321121158883686</v>
      </c>
      <c r="S114" s="324">
        <v>0.13459219609974735</v>
      </c>
      <c r="T114" s="78">
        <v>0</v>
      </c>
      <c r="U114" s="79">
        <v>0</v>
      </c>
      <c r="V114" s="80">
        <v>0</v>
      </c>
      <c r="W114" s="80">
        <v>173.25784528699998</v>
      </c>
      <c r="X114" s="80">
        <v>8.40392504008E-2</v>
      </c>
      <c r="Y114" s="80">
        <v>23.1555079814</v>
      </c>
      <c r="Z114" s="80"/>
      <c r="AA114" s="80"/>
      <c r="AB114" s="164">
        <f t="shared" si="14"/>
        <v>196.49739251880078</v>
      </c>
      <c r="AC114" s="216">
        <f t="shared" si="12"/>
        <v>0.13459219609974735</v>
      </c>
    </row>
    <row r="115" spans="1:29" s="81" customFormat="1" x14ac:dyDescent="0.25">
      <c r="A115" s="70">
        <v>113</v>
      </c>
      <c r="B115" s="71">
        <v>30115</v>
      </c>
      <c r="C115" s="72" t="s">
        <v>82</v>
      </c>
      <c r="D115" s="84" t="s">
        <v>765</v>
      </c>
      <c r="E115" s="69"/>
      <c r="F115" s="74">
        <f>13278027.8374023/10000</f>
        <v>1327.8027837402301</v>
      </c>
      <c r="G115" s="75" t="s">
        <v>11</v>
      </c>
      <c r="H115" s="76">
        <v>0</v>
      </c>
      <c r="I115" s="76">
        <v>0</v>
      </c>
      <c r="J115" s="76">
        <f t="shared" si="20"/>
        <v>0</v>
      </c>
      <c r="K115" s="302">
        <f>ZoneInondable2022!G32</f>
        <v>39.086849999999998</v>
      </c>
      <c r="L115" s="302">
        <f>ZoneInondable2022!G210</f>
        <v>17.516242999999999</v>
      </c>
      <c r="M115" s="302">
        <f>ZoneInondable2022!G34</f>
        <v>37.115603999999998</v>
      </c>
      <c r="N115" s="76"/>
      <c r="O115" s="76"/>
      <c r="P115" s="76"/>
      <c r="Q115" s="76">
        <f t="shared" si="13"/>
        <v>93.718696999999992</v>
      </c>
      <c r="R115" s="88">
        <f t="shared" si="11"/>
        <v>7.0581789816713481E-2</v>
      </c>
      <c r="S115" s="324">
        <v>1.3693461964271004E-2</v>
      </c>
      <c r="T115" s="78">
        <v>18.182216915199998</v>
      </c>
      <c r="U115" s="79">
        <v>0</v>
      </c>
      <c r="V115" s="80">
        <v>0</v>
      </c>
      <c r="W115" s="80">
        <v>0</v>
      </c>
      <c r="X115" s="80">
        <v>0</v>
      </c>
      <c r="Y115" s="80">
        <v>0</v>
      </c>
      <c r="Z115" s="80"/>
      <c r="AA115" s="80"/>
      <c r="AB115" s="164">
        <f t="shared" si="14"/>
        <v>18.182216915199998</v>
      </c>
      <c r="AC115" s="216">
        <f t="shared" si="12"/>
        <v>1.3693461964271004E-2</v>
      </c>
    </row>
    <row r="116" spans="1:29" s="81" customFormat="1" x14ac:dyDescent="0.25">
      <c r="A116" s="70">
        <v>114</v>
      </c>
      <c r="B116" s="71">
        <v>30116</v>
      </c>
      <c r="C116" s="72" t="s">
        <v>376</v>
      </c>
      <c r="D116" s="84" t="s">
        <v>754</v>
      </c>
      <c r="E116" s="69"/>
      <c r="F116" s="74">
        <f>17727083.8496093/10000</f>
        <v>1772.7083849609301</v>
      </c>
      <c r="G116" s="75" t="s">
        <v>11</v>
      </c>
      <c r="H116" s="76">
        <v>0</v>
      </c>
      <c r="I116" s="76">
        <v>0</v>
      </c>
      <c r="J116" s="76">
        <f t="shared" si="20"/>
        <v>0</v>
      </c>
      <c r="K116" s="302">
        <f>ZoneInondable2022!G238</f>
        <v>397.22564999999997</v>
      </c>
      <c r="L116" s="302">
        <f>ZoneInondable2022!G301</f>
        <v>31.954951999999999</v>
      </c>
      <c r="M116" s="302">
        <f>ZoneInondable2022!G230</f>
        <v>39.02552</v>
      </c>
      <c r="N116" s="76"/>
      <c r="O116" s="76"/>
      <c r="P116" s="76"/>
      <c r="Q116" s="76">
        <f t="shared" si="13"/>
        <v>468.20612199999994</v>
      </c>
      <c r="R116" s="77">
        <f t="shared" si="11"/>
        <v>0.26411908804183776</v>
      </c>
      <c r="S116" s="324">
        <v>0.26277431293938774</v>
      </c>
      <c r="T116" s="78">
        <v>0</v>
      </c>
      <c r="U116" s="79">
        <v>0</v>
      </c>
      <c r="V116" s="80">
        <v>0</v>
      </c>
      <c r="W116" s="80">
        <v>395.71074210000006</v>
      </c>
      <c r="X116" s="80">
        <v>30.9320272</v>
      </c>
      <c r="Y116" s="80">
        <v>39.179458600000004</v>
      </c>
      <c r="Z116" s="80"/>
      <c r="AA116" s="80"/>
      <c r="AB116" s="164">
        <f t="shared" si="14"/>
        <v>465.82222790000003</v>
      </c>
      <c r="AC116" s="216">
        <f t="shared" si="12"/>
        <v>0.26277431293938774</v>
      </c>
    </row>
    <row r="117" spans="1:29" s="81" customFormat="1" x14ac:dyDescent="0.25">
      <c r="A117" s="70">
        <v>115</v>
      </c>
      <c r="B117" s="71">
        <v>30117</v>
      </c>
      <c r="C117" s="72" t="s">
        <v>188</v>
      </c>
      <c r="D117" s="84" t="s">
        <v>773</v>
      </c>
      <c r="E117" s="69"/>
      <c r="F117" s="74">
        <f>38167639.2324218/10000</f>
        <v>3816.7639232421802</v>
      </c>
      <c r="G117" s="75" t="s">
        <v>11</v>
      </c>
      <c r="H117" s="76">
        <v>0</v>
      </c>
      <c r="I117" s="76">
        <v>0</v>
      </c>
      <c r="J117" s="76">
        <f t="shared" si="20"/>
        <v>0</v>
      </c>
      <c r="K117" s="302">
        <f>ZoneInondable2022!G572</f>
        <v>3792.6550000000002</v>
      </c>
      <c r="L117" s="302">
        <f>ZoneInondable2022!G337</f>
        <v>9.2075320000000005</v>
      </c>
      <c r="M117" s="302">
        <f>ZoneInondable2022!G94</f>
        <v>7.5875300000000003E-3</v>
      </c>
      <c r="N117" s="76"/>
      <c r="O117" s="76"/>
      <c r="P117" s="76"/>
      <c r="Q117" s="76">
        <f t="shared" si="13"/>
        <v>3801.87011953</v>
      </c>
      <c r="R117" s="77">
        <f t="shared" si="11"/>
        <v>0.9960977927868464</v>
      </c>
      <c r="S117" s="324">
        <v>0.99781013279566955</v>
      </c>
      <c r="T117" s="78">
        <v>0</v>
      </c>
      <c r="U117" s="79">
        <v>0</v>
      </c>
      <c r="V117" s="80">
        <v>0</v>
      </c>
      <c r="W117" s="80">
        <v>3799.0248520000005</v>
      </c>
      <c r="X117" s="80">
        <v>9.3808650999999994</v>
      </c>
      <c r="Y117" s="80">
        <v>0</v>
      </c>
      <c r="Z117" s="80"/>
      <c r="AA117" s="80"/>
      <c r="AB117" s="164">
        <f t="shared" si="14"/>
        <v>3808.4057171000004</v>
      </c>
      <c r="AC117" s="216">
        <f t="shared" si="12"/>
        <v>0.99781013279566955</v>
      </c>
    </row>
    <row r="118" spans="1:29" s="28" customFormat="1" x14ac:dyDescent="0.25">
      <c r="A118" s="17">
        <v>116</v>
      </c>
      <c r="B118" s="18">
        <v>30119</v>
      </c>
      <c r="C118" s="19" t="s">
        <v>666</v>
      </c>
      <c r="D118" s="20" t="s">
        <v>755</v>
      </c>
      <c r="E118" s="21"/>
      <c r="F118" s="22">
        <f>5956627.05175781/10000</f>
        <v>595.66270517578096</v>
      </c>
      <c r="G118" s="23" t="s">
        <v>761</v>
      </c>
      <c r="H118" s="302">
        <f>ZoneInondable2022!G692</f>
        <v>33.800148</v>
      </c>
      <c r="I118" s="24">
        <v>0</v>
      </c>
      <c r="J118" s="24">
        <f t="shared" si="20"/>
        <v>0</v>
      </c>
      <c r="K118" s="24">
        <f>W118/10000</f>
        <v>0</v>
      </c>
      <c r="L118" s="24">
        <f>X118/10000</f>
        <v>0</v>
      </c>
      <c r="M118" s="24">
        <f>Y118/10000</f>
        <v>0</v>
      </c>
      <c r="N118" s="24"/>
      <c r="O118" s="24"/>
      <c r="P118" s="24"/>
      <c r="Q118" s="24">
        <f t="shared" si="13"/>
        <v>33.800148</v>
      </c>
      <c r="R118" s="85">
        <f t="shared" si="11"/>
        <v>5.6743770772127701E-2</v>
      </c>
      <c r="S118" s="324">
        <v>5.6804659585183902E-2</v>
      </c>
      <c r="T118" s="25">
        <v>33.836417195099997</v>
      </c>
      <c r="U118" s="26">
        <v>0</v>
      </c>
      <c r="V118" s="27">
        <v>0</v>
      </c>
      <c r="W118" s="27">
        <v>0</v>
      </c>
      <c r="X118" s="27">
        <v>0</v>
      </c>
      <c r="Y118" s="27">
        <v>0</v>
      </c>
      <c r="Z118" s="27"/>
      <c r="AA118" s="27"/>
      <c r="AB118" s="160">
        <f t="shared" si="14"/>
        <v>33.836417195099997</v>
      </c>
      <c r="AC118" s="216">
        <f t="shared" si="12"/>
        <v>5.6804659585183902E-2</v>
      </c>
    </row>
    <row r="119" spans="1:29" s="81" customFormat="1" x14ac:dyDescent="0.25">
      <c r="A119" s="70">
        <v>117</v>
      </c>
      <c r="B119" s="71">
        <v>30120</v>
      </c>
      <c r="C119" s="72" t="s">
        <v>292</v>
      </c>
      <c r="D119" s="84" t="s">
        <v>765</v>
      </c>
      <c r="E119" s="69"/>
      <c r="F119" s="74">
        <f>11167574.6938476/10000</f>
        <v>1116.75746938476</v>
      </c>
      <c r="G119" s="75" t="s">
        <v>11</v>
      </c>
      <c r="H119" s="76">
        <v>0</v>
      </c>
      <c r="I119" s="76">
        <v>0</v>
      </c>
      <c r="J119" s="76">
        <f t="shared" si="20"/>
        <v>0</v>
      </c>
      <c r="K119" s="302">
        <f>ZoneInondable2022!G163</f>
        <v>110.17948</v>
      </c>
      <c r="L119" s="302">
        <f>ZoneInondable2022!G192</f>
        <v>11.032327</v>
      </c>
      <c r="M119" s="302">
        <f>ZoneInondable2022!G457</f>
        <v>59.448419999999999</v>
      </c>
      <c r="N119" s="76"/>
      <c r="O119" s="76"/>
      <c r="P119" s="76"/>
      <c r="Q119" s="76">
        <f t="shared" si="13"/>
        <v>180.66022699999999</v>
      </c>
      <c r="R119" s="77">
        <f t="shared" si="11"/>
        <v>0.16177212326999582</v>
      </c>
      <c r="S119" s="324">
        <v>0.15982629947243338</v>
      </c>
      <c r="T119" s="78">
        <v>0</v>
      </c>
      <c r="U119" s="79">
        <v>0</v>
      </c>
      <c r="V119" s="80">
        <v>0</v>
      </c>
      <c r="W119" s="80">
        <v>107.91080034564301</v>
      </c>
      <c r="X119" s="80">
        <v>11.0831941683225</v>
      </c>
      <c r="Y119" s="80">
        <v>59.493219226000001</v>
      </c>
      <c r="Z119" s="80"/>
      <c r="AA119" s="80"/>
      <c r="AB119" s="164">
        <f t="shared" si="14"/>
        <v>178.48721373996551</v>
      </c>
      <c r="AC119" s="216">
        <f t="shared" si="12"/>
        <v>0.15982629947243338</v>
      </c>
    </row>
    <row r="120" spans="1:29" s="81" customFormat="1" x14ac:dyDescent="0.25">
      <c r="A120" s="70">
        <v>118</v>
      </c>
      <c r="B120" s="71">
        <v>30121</v>
      </c>
      <c r="C120" s="72" t="s">
        <v>417</v>
      </c>
      <c r="D120" s="84" t="s">
        <v>755</v>
      </c>
      <c r="E120" s="69"/>
      <c r="F120" s="74">
        <f>5601488.77099609/10000</f>
        <v>560.14887709960897</v>
      </c>
      <c r="G120" s="75" t="s">
        <v>11</v>
      </c>
      <c r="H120" s="76">
        <v>0</v>
      </c>
      <c r="I120" s="76">
        <v>0</v>
      </c>
      <c r="J120" s="76">
        <f t="shared" si="20"/>
        <v>0</v>
      </c>
      <c r="K120" s="302">
        <f>ZoneInondable2022!G263</f>
        <v>3.0584039999999999</v>
      </c>
      <c r="L120" s="302">
        <v>0</v>
      </c>
      <c r="M120" s="302">
        <f>ZoneInondable2022!G664</f>
        <v>17.978131999999999</v>
      </c>
      <c r="N120" s="76"/>
      <c r="O120" s="76"/>
      <c r="P120" s="76"/>
      <c r="Q120" s="76">
        <f t="shared" si="13"/>
        <v>21.036535999999998</v>
      </c>
      <c r="R120" s="77">
        <f t="shared" si="11"/>
        <v>3.7555258717869675E-2</v>
      </c>
      <c r="S120" s="324">
        <v>4.213859196039807E-2</v>
      </c>
      <c r="T120" s="78">
        <v>0</v>
      </c>
      <c r="U120" s="79">
        <v>0</v>
      </c>
      <c r="V120" s="80">
        <v>0</v>
      </c>
      <c r="W120" s="80">
        <v>3.8755740200380897</v>
      </c>
      <c r="X120" s="80">
        <v>1.28709425858E-2</v>
      </c>
      <c r="Y120" s="80">
        <v>19.715440006551699</v>
      </c>
      <c r="Z120" s="80"/>
      <c r="AA120" s="80"/>
      <c r="AB120" s="164">
        <f t="shared" si="14"/>
        <v>23.603884969175589</v>
      </c>
      <c r="AC120" s="216">
        <f t="shared" si="12"/>
        <v>4.213859196039807E-2</v>
      </c>
    </row>
    <row r="121" spans="1:29" s="81" customFormat="1" x14ac:dyDescent="0.25">
      <c r="A121" s="70">
        <v>119</v>
      </c>
      <c r="B121" s="71">
        <v>30122</v>
      </c>
      <c r="C121" s="72" t="s">
        <v>274</v>
      </c>
      <c r="D121" s="84" t="s">
        <v>754</v>
      </c>
      <c r="E121" s="69"/>
      <c r="F121" s="74">
        <f>11125082.5029296/10000</f>
        <v>1112.5082502929599</v>
      </c>
      <c r="G121" s="75" t="s">
        <v>11</v>
      </c>
      <c r="H121" s="76">
        <v>0</v>
      </c>
      <c r="I121" s="76">
        <v>0</v>
      </c>
      <c r="J121" s="302">
        <f>ZoneInondable2022!G476</f>
        <v>6.1341883000000002E-3</v>
      </c>
      <c r="K121" s="36">
        <f>ZoneInondable2022!G150-X121</f>
        <v>197.09410003651791</v>
      </c>
      <c r="L121" s="36">
        <f>ZoneInondable2022!G458+X121</f>
        <v>44.156384003482103</v>
      </c>
      <c r="M121" s="302">
        <f>ZoneInondable2022!G706</f>
        <v>12.625221</v>
      </c>
      <c r="N121" s="76"/>
      <c r="O121" s="76"/>
      <c r="P121" s="76"/>
      <c r="Q121" s="76">
        <f t="shared" si="13"/>
        <v>253.88183922830001</v>
      </c>
      <c r="R121" s="77">
        <f t="shared" si="11"/>
        <v>0.22820670243249394</v>
      </c>
      <c r="S121" s="324">
        <v>0.23125445618804427</v>
      </c>
      <c r="T121" s="78">
        <v>0</v>
      </c>
      <c r="U121" s="79">
        <v>0</v>
      </c>
      <c r="V121" s="80">
        <v>0</v>
      </c>
      <c r="W121" s="80">
        <v>197.45730802972901</v>
      </c>
      <c r="X121" s="80">
        <v>43.451329963482102</v>
      </c>
      <c r="Y121" s="80">
        <v>16.363852432999998</v>
      </c>
      <c r="Z121" s="80"/>
      <c r="AA121" s="80"/>
      <c r="AB121" s="164">
        <f t="shared" si="14"/>
        <v>257.27249042621111</v>
      </c>
      <c r="AC121" s="216">
        <f t="shared" si="12"/>
        <v>0.23125445618804427</v>
      </c>
    </row>
    <row r="122" spans="1:29" s="81" customFormat="1" ht="26.25" x14ac:dyDescent="0.25">
      <c r="A122" s="70">
        <v>120</v>
      </c>
      <c r="B122" s="71">
        <v>30123</v>
      </c>
      <c r="C122" s="72" t="s">
        <v>246</v>
      </c>
      <c r="D122" s="84" t="s">
        <v>755</v>
      </c>
      <c r="E122" s="69" t="s">
        <v>790</v>
      </c>
      <c r="F122" s="74">
        <f>10880600.0996093/10000</f>
        <v>1088.0600099609301</v>
      </c>
      <c r="G122" s="75" t="s">
        <v>11</v>
      </c>
      <c r="H122" s="76">
        <v>0</v>
      </c>
      <c r="I122" s="76">
        <v>0</v>
      </c>
      <c r="J122" s="76">
        <f t="shared" ref="J122:J132" si="21">V122/10000</f>
        <v>0</v>
      </c>
      <c r="K122" s="302">
        <f>ZoneInondable2022!G570</f>
        <v>507.02456999999998</v>
      </c>
      <c r="L122" s="302">
        <f>ZoneInondable2022!G498</f>
        <v>46.774867999999998</v>
      </c>
      <c r="M122" s="302">
        <f>ZoneInondable2022!G128</f>
        <v>68.105959999999996</v>
      </c>
      <c r="N122" s="76"/>
      <c r="O122" s="76"/>
      <c r="P122" s="76"/>
      <c r="Q122" s="76">
        <f t="shared" si="13"/>
        <v>621.90539799999999</v>
      </c>
      <c r="R122" s="77">
        <f t="shared" si="11"/>
        <v>0.57157270031671437</v>
      </c>
      <c r="S122" s="324">
        <v>0.57832968213085545</v>
      </c>
      <c r="T122" s="78">
        <v>0</v>
      </c>
      <c r="U122" s="79">
        <v>0</v>
      </c>
      <c r="V122" s="80">
        <v>0</v>
      </c>
      <c r="W122" s="80">
        <v>509.44432750000004</v>
      </c>
      <c r="X122" s="80">
        <v>48.257042999999996</v>
      </c>
      <c r="Y122" s="80">
        <v>71.556029199999998</v>
      </c>
      <c r="Z122" s="80"/>
      <c r="AA122" s="80"/>
      <c r="AB122" s="164">
        <f t="shared" si="14"/>
        <v>629.25739970000006</v>
      </c>
      <c r="AC122" s="216">
        <f t="shared" si="12"/>
        <v>0.57832968213085545</v>
      </c>
    </row>
    <row r="123" spans="1:29" s="28" customFormat="1" x14ac:dyDescent="0.25">
      <c r="A123" s="17">
        <v>121</v>
      </c>
      <c r="B123" s="18">
        <v>30124</v>
      </c>
      <c r="C123" s="19" t="s">
        <v>572</v>
      </c>
      <c r="D123" s="20" t="s">
        <v>765</v>
      </c>
      <c r="E123" s="21" t="s">
        <v>772</v>
      </c>
      <c r="F123" s="22">
        <f>11075855.8618164/10000</f>
        <v>1107.5855861816401</v>
      </c>
      <c r="G123" s="23" t="s">
        <v>761</v>
      </c>
      <c r="H123" s="302">
        <f>ZoneInondable2022!G503</f>
        <v>1.5562887000000001</v>
      </c>
      <c r="I123" s="24">
        <v>0</v>
      </c>
      <c r="J123" s="24">
        <f t="shared" si="21"/>
        <v>0</v>
      </c>
      <c r="K123" s="24">
        <f>W123/10000</f>
        <v>0</v>
      </c>
      <c r="L123" s="24">
        <f>X123/10000</f>
        <v>0</v>
      </c>
      <c r="M123" s="24">
        <f>Y123/10000</f>
        <v>0</v>
      </c>
      <c r="N123" s="24"/>
      <c r="O123" s="24"/>
      <c r="P123" s="24"/>
      <c r="Q123" s="24">
        <f t="shared" si="13"/>
        <v>1.5562887000000001</v>
      </c>
      <c r="R123" s="85">
        <f t="shared" si="11"/>
        <v>1.4051182314183477E-3</v>
      </c>
      <c r="S123" s="324">
        <v>1.1908647395973706E-3</v>
      </c>
      <c r="T123" s="25">
        <v>1.31898462067</v>
      </c>
      <c r="U123" s="26">
        <v>0</v>
      </c>
      <c r="V123" s="27">
        <v>0</v>
      </c>
      <c r="W123" s="27">
        <v>0</v>
      </c>
      <c r="X123" s="27">
        <v>0</v>
      </c>
      <c r="Y123" s="27">
        <v>0</v>
      </c>
      <c r="Z123" s="27"/>
      <c r="AA123" s="27"/>
      <c r="AB123" s="160">
        <f t="shared" si="14"/>
        <v>1.31898462067</v>
      </c>
      <c r="AC123" s="216">
        <f t="shared" si="12"/>
        <v>1.1908647395973706E-3</v>
      </c>
    </row>
    <row r="124" spans="1:29" s="149" customFormat="1" x14ac:dyDescent="0.25">
      <c r="A124" s="138">
        <v>122</v>
      </c>
      <c r="B124" s="139">
        <v>30125</v>
      </c>
      <c r="C124" s="140" t="s">
        <v>554</v>
      </c>
      <c r="D124" s="141" t="s">
        <v>758</v>
      </c>
      <c r="E124" s="137"/>
      <c r="F124" s="142">
        <f>12480869.1196289/10000</f>
        <v>1248.0869119628901</v>
      </c>
      <c r="G124" s="143" t="s">
        <v>778</v>
      </c>
      <c r="H124" s="144">
        <f>T124/10000</f>
        <v>0</v>
      </c>
      <c r="I124" s="144">
        <v>0</v>
      </c>
      <c r="J124" s="144">
        <f t="shared" si="21"/>
        <v>0</v>
      </c>
      <c r="K124" s="302">
        <f>ZoneInondable2022!G742</f>
        <v>1.9700004</v>
      </c>
      <c r="L124" s="144">
        <f>X124/10000</f>
        <v>0</v>
      </c>
      <c r="M124" s="302">
        <f>ZoneInondable2022!G472</f>
        <v>3.8500856999999999E-2</v>
      </c>
      <c r="N124" s="144"/>
      <c r="O124" s="144"/>
      <c r="P124" s="144"/>
      <c r="Q124" s="144">
        <f t="shared" si="13"/>
        <v>2.0085012569999998</v>
      </c>
      <c r="R124" s="145">
        <f t="shared" si="11"/>
        <v>1.6092639364683279E-3</v>
      </c>
      <c r="S124" s="324">
        <v>0</v>
      </c>
      <c r="T124" s="146">
        <v>0</v>
      </c>
      <c r="U124" s="147">
        <v>0</v>
      </c>
      <c r="V124" s="148">
        <v>0</v>
      </c>
      <c r="W124" s="148">
        <v>0</v>
      </c>
      <c r="X124" s="148">
        <v>0</v>
      </c>
      <c r="Y124" s="148">
        <v>0</v>
      </c>
      <c r="Z124" s="148"/>
      <c r="AA124" s="148"/>
      <c r="AB124" s="51">
        <f t="shared" si="14"/>
        <v>0</v>
      </c>
      <c r="AC124" s="216">
        <f t="shared" si="12"/>
        <v>0</v>
      </c>
    </row>
    <row r="125" spans="1:29" s="81" customFormat="1" ht="26.25" x14ac:dyDescent="0.25">
      <c r="A125" s="70">
        <v>123</v>
      </c>
      <c r="B125" s="71">
        <v>30126</v>
      </c>
      <c r="C125" s="72" t="s">
        <v>548</v>
      </c>
      <c r="D125" s="84" t="s">
        <v>754</v>
      </c>
      <c r="E125" s="69"/>
      <c r="F125" s="74">
        <f>9921781.98339843/10000</f>
        <v>992.17819833984299</v>
      </c>
      <c r="G125" s="75" t="s">
        <v>11</v>
      </c>
      <c r="H125" s="76">
        <v>0</v>
      </c>
      <c r="I125" s="76">
        <v>0</v>
      </c>
      <c r="J125" s="76">
        <f t="shared" si="21"/>
        <v>0</v>
      </c>
      <c r="K125" s="36">
        <f>ZoneInondable2022!G459-X125</f>
        <v>22.997762641684879</v>
      </c>
      <c r="L125" s="36">
        <f>ZoneInondable2022!G843+X125</f>
        <v>11.31145135831512</v>
      </c>
      <c r="M125" s="302">
        <f>ZoneInondable2022!G541</f>
        <v>98.195625000000007</v>
      </c>
      <c r="N125" s="76"/>
      <c r="O125" s="76"/>
      <c r="P125" s="76"/>
      <c r="Q125" s="76">
        <f t="shared" si="13"/>
        <v>132.504839</v>
      </c>
      <c r="R125" s="77">
        <f t="shared" si="11"/>
        <v>0.13354943620179624</v>
      </c>
      <c r="S125" s="324">
        <v>0.13339137692565683</v>
      </c>
      <c r="T125" s="78">
        <v>0</v>
      </c>
      <c r="U125" s="79">
        <v>0</v>
      </c>
      <c r="V125" s="80">
        <v>0</v>
      </c>
      <c r="W125" s="80">
        <v>0</v>
      </c>
      <c r="X125" s="80">
        <v>7.82406035831512</v>
      </c>
      <c r="Y125" s="80">
        <v>124.523955673854</v>
      </c>
      <c r="Z125" s="80"/>
      <c r="AA125" s="80"/>
      <c r="AB125" s="164">
        <f t="shared" si="14"/>
        <v>132.34801603216911</v>
      </c>
      <c r="AC125" s="216">
        <f t="shared" si="12"/>
        <v>0.13339137692565683</v>
      </c>
    </row>
    <row r="126" spans="1:29" s="81" customFormat="1" x14ac:dyDescent="0.25">
      <c r="A126" s="70">
        <v>124</v>
      </c>
      <c r="B126" s="71">
        <v>30127</v>
      </c>
      <c r="C126" s="72" t="s">
        <v>423</v>
      </c>
      <c r="D126" s="84" t="s">
        <v>765</v>
      </c>
      <c r="E126" s="69"/>
      <c r="F126" s="74">
        <f>10293813.4589843/10000</f>
        <v>1029.38134589843</v>
      </c>
      <c r="G126" s="75" t="s">
        <v>11</v>
      </c>
      <c r="H126" s="76">
        <v>0</v>
      </c>
      <c r="I126" s="76">
        <v>0</v>
      </c>
      <c r="J126" s="76">
        <f t="shared" si="21"/>
        <v>0</v>
      </c>
      <c r="K126" s="302">
        <f>ZoneInondable2022!G335</f>
        <v>44.822024999999996</v>
      </c>
      <c r="L126" s="302">
        <f>ZoneInondable2022!G470</f>
        <v>37.563904000000001</v>
      </c>
      <c r="M126" s="302">
        <f>ZoneInondable2022!G271</f>
        <v>15.037747</v>
      </c>
      <c r="N126" s="76"/>
      <c r="O126" s="76"/>
      <c r="P126" s="76"/>
      <c r="Q126" s="76">
        <f t="shared" si="13"/>
        <v>97.423676</v>
      </c>
      <c r="R126" s="88">
        <f t="shared" si="11"/>
        <v>9.4642939070330584E-2</v>
      </c>
      <c r="S126" s="324">
        <v>3.2023555026372733E-2</v>
      </c>
      <c r="T126" s="78">
        <v>32.964450173499998</v>
      </c>
      <c r="U126" s="79">
        <v>0</v>
      </c>
      <c r="V126" s="80">
        <v>0</v>
      </c>
      <c r="W126" s="80">
        <v>0</v>
      </c>
      <c r="X126" s="80">
        <v>0</v>
      </c>
      <c r="Y126" s="80">
        <v>0</v>
      </c>
      <c r="Z126" s="80"/>
      <c r="AA126" s="80"/>
      <c r="AB126" s="164">
        <f t="shared" si="14"/>
        <v>32.964450173499998</v>
      </c>
      <c r="AC126" s="216">
        <f t="shared" si="12"/>
        <v>3.2023555026372733E-2</v>
      </c>
    </row>
    <row r="127" spans="1:29" s="81" customFormat="1" x14ac:dyDescent="0.25">
      <c r="A127" s="70">
        <v>125</v>
      </c>
      <c r="B127" s="71">
        <v>30128</v>
      </c>
      <c r="C127" s="72" t="s">
        <v>224</v>
      </c>
      <c r="D127" s="84" t="s">
        <v>758</v>
      </c>
      <c r="E127" s="69" t="s">
        <v>774</v>
      </c>
      <c r="F127" s="74">
        <f>24377460.0356445/10000</f>
        <v>2437.7460035644503</v>
      </c>
      <c r="G127" s="75" t="s">
        <v>11</v>
      </c>
      <c r="H127" s="76">
        <v>0</v>
      </c>
      <c r="I127" s="76">
        <v>0</v>
      </c>
      <c r="J127" s="76">
        <f t="shared" si="21"/>
        <v>0</v>
      </c>
      <c r="K127" s="302">
        <f>ZoneInondable2022!G391</f>
        <v>78.511349999999993</v>
      </c>
      <c r="L127" s="302">
        <f>ZoneInondable2022!G117</f>
        <v>33.278744000000003</v>
      </c>
      <c r="M127" s="302">
        <f>ZoneInondable2022!G484</f>
        <v>70.83511</v>
      </c>
      <c r="N127" s="76"/>
      <c r="O127" s="76"/>
      <c r="P127" s="76"/>
      <c r="Q127" s="76">
        <f t="shared" si="13"/>
        <v>182.625204</v>
      </c>
      <c r="R127" s="77">
        <f t="shared" si="11"/>
        <v>7.4915599792991991E-2</v>
      </c>
      <c r="S127" s="324">
        <v>7.4510116621891484E-2</v>
      </c>
      <c r="T127" s="78">
        <v>0</v>
      </c>
      <c r="U127" s="79">
        <v>0</v>
      </c>
      <c r="V127" s="80">
        <v>0</v>
      </c>
      <c r="W127" s="80">
        <v>78.414603320326009</v>
      </c>
      <c r="X127" s="80">
        <v>32.788658935511101</v>
      </c>
      <c r="Y127" s="80">
        <v>70.433476764299996</v>
      </c>
      <c r="Z127" s="80">
        <v>0</v>
      </c>
      <c r="AA127" s="80"/>
      <c r="AB127" s="164">
        <f t="shared" si="14"/>
        <v>181.6367390201371</v>
      </c>
      <c r="AC127" s="216">
        <f t="shared" si="12"/>
        <v>7.4510116621891484E-2</v>
      </c>
    </row>
    <row r="128" spans="1:29" s="28" customFormat="1" x14ac:dyDescent="0.25">
      <c r="A128" s="17">
        <v>126</v>
      </c>
      <c r="B128" s="18">
        <v>30129</v>
      </c>
      <c r="C128" s="19" t="s">
        <v>632</v>
      </c>
      <c r="D128" s="20" t="s">
        <v>754</v>
      </c>
      <c r="E128" s="34"/>
      <c r="F128" s="22">
        <f>10661126.8232421/10000</f>
        <v>1066.11268232421</v>
      </c>
      <c r="G128" s="23" t="s">
        <v>761</v>
      </c>
      <c r="H128" s="302">
        <f>ZoneInondable2022!G640</f>
        <v>70.634450000000001</v>
      </c>
      <c r="I128" s="24">
        <v>0</v>
      </c>
      <c r="J128" s="24">
        <f t="shared" si="21"/>
        <v>0</v>
      </c>
      <c r="K128" s="24">
        <v>0</v>
      </c>
      <c r="L128" s="24">
        <v>0</v>
      </c>
      <c r="M128" s="24">
        <v>0</v>
      </c>
      <c r="N128" s="24"/>
      <c r="O128" s="24"/>
      <c r="P128" s="24"/>
      <c r="Q128" s="24">
        <f t="shared" si="13"/>
        <v>70.634450000000001</v>
      </c>
      <c r="R128" s="85">
        <f t="shared" si="11"/>
        <v>6.6254206681052988E-2</v>
      </c>
      <c r="S128" s="324">
        <v>6.7401026374666009E-2</v>
      </c>
      <c r="T128" s="25">
        <v>71.857089019699998</v>
      </c>
      <c r="U128" s="26">
        <v>0</v>
      </c>
      <c r="V128" s="27">
        <v>0</v>
      </c>
      <c r="W128" s="27">
        <v>0</v>
      </c>
      <c r="X128" s="27">
        <v>0</v>
      </c>
      <c r="Y128" s="27">
        <v>0</v>
      </c>
      <c r="Z128" s="27">
        <v>0</v>
      </c>
      <c r="AA128" s="27"/>
      <c r="AB128" s="160">
        <f t="shared" si="14"/>
        <v>71.857089019699998</v>
      </c>
      <c r="AC128" s="216">
        <f t="shared" si="12"/>
        <v>6.7401026374666009E-2</v>
      </c>
    </row>
    <row r="129" spans="1:29" s="199" customFormat="1" x14ac:dyDescent="0.25">
      <c r="A129" s="186">
        <v>127</v>
      </c>
      <c r="B129" s="187">
        <v>30130</v>
      </c>
      <c r="C129" s="188" t="s">
        <v>618</v>
      </c>
      <c r="D129" s="189" t="s">
        <v>765</v>
      </c>
      <c r="E129" s="190"/>
      <c r="F129" s="191">
        <f>17273599.9960937/10000</f>
        <v>1727.3599996093701</v>
      </c>
      <c r="G129" s="192" t="s">
        <v>781</v>
      </c>
      <c r="H129" s="302">
        <f>ZoneInondable2022!G651</f>
        <v>24.908749</v>
      </c>
      <c r="I129" s="193">
        <v>0</v>
      </c>
      <c r="J129" s="193">
        <f t="shared" si="21"/>
        <v>0</v>
      </c>
      <c r="K129" s="302">
        <f>ZoneInondable2022!G731</f>
        <v>17.152083999999999</v>
      </c>
      <c r="L129" s="302">
        <f>ZoneInondable2022!G653</f>
        <v>0.21748433</v>
      </c>
      <c r="M129" s="302">
        <f>ZoneInondable2022!G625</f>
        <v>3.6664739000000002</v>
      </c>
      <c r="N129" s="193"/>
      <c r="O129" s="193"/>
      <c r="P129" s="193"/>
      <c r="Q129" s="193">
        <f t="shared" si="13"/>
        <v>45.94479123</v>
      </c>
      <c r="R129" s="194">
        <f t="shared" si="11"/>
        <v>2.6598272068584474E-2</v>
      </c>
      <c r="S129" s="324">
        <v>3.055232279112614E-2</v>
      </c>
      <c r="T129" s="195">
        <v>25.108076258800001</v>
      </c>
      <c r="U129" s="196">
        <v>0</v>
      </c>
      <c r="V129" s="197">
        <v>0</v>
      </c>
      <c r="W129" s="197">
        <v>21.11389770041</v>
      </c>
      <c r="X129" s="197">
        <v>0.24267615853500002</v>
      </c>
      <c r="Y129" s="197">
        <v>6.3102101668000001</v>
      </c>
      <c r="Z129" s="197">
        <v>0</v>
      </c>
      <c r="AA129" s="197"/>
      <c r="AB129" s="198">
        <f t="shared" si="14"/>
        <v>52.774860284544999</v>
      </c>
      <c r="AC129" s="216">
        <f t="shared" si="12"/>
        <v>3.055232279112614E-2</v>
      </c>
    </row>
    <row r="130" spans="1:29" s="81" customFormat="1" x14ac:dyDescent="0.25">
      <c r="A130" s="70">
        <v>128</v>
      </c>
      <c r="B130" s="71">
        <v>30131</v>
      </c>
      <c r="C130" s="72" t="s">
        <v>216</v>
      </c>
      <c r="D130" s="84" t="s">
        <v>765</v>
      </c>
      <c r="E130" s="69"/>
      <c r="F130" s="74">
        <f>30496064.1850585/10000</f>
        <v>3049.6064185058499</v>
      </c>
      <c r="G130" s="75" t="s">
        <v>11</v>
      </c>
      <c r="H130" s="76">
        <v>0</v>
      </c>
      <c r="I130" s="76">
        <v>0</v>
      </c>
      <c r="J130" s="76">
        <f t="shared" si="21"/>
        <v>0</v>
      </c>
      <c r="K130" s="302">
        <f>ZoneInondable2022!G113</f>
        <v>307.14499999999998</v>
      </c>
      <c r="L130" s="302">
        <f>ZoneInondable2022!G510</f>
        <v>13.85216</v>
      </c>
      <c r="M130" s="302">
        <f>ZoneInondable2022!G441</f>
        <v>29.178152000000001</v>
      </c>
      <c r="N130" s="76"/>
      <c r="O130" s="76"/>
      <c r="P130" s="76"/>
      <c r="Q130" s="76">
        <f t="shared" si="13"/>
        <v>350.17531200000002</v>
      </c>
      <c r="R130" s="77">
        <f t="shared" si="11"/>
        <v>0.11482639526039819</v>
      </c>
      <c r="S130" s="324">
        <v>0.11872835436471453</v>
      </c>
      <c r="T130" s="78">
        <v>0</v>
      </c>
      <c r="U130" s="79">
        <v>0</v>
      </c>
      <c r="V130" s="80">
        <v>0</v>
      </c>
      <c r="W130" s="80">
        <v>319.76902580324099</v>
      </c>
      <c r="X130" s="80">
        <v>13.711999346829499</v>
      </c>
      <c r="Y130" s="80">
        <v>28.5937263792</v>
      </c>
      <c r="Z130" s="80">
        <v>0</v>
      </c>
      <c r="AA130" s="80"/>
      <c r="AB130" s="164">
        <f t="shared" si="14"/>
        <v>362.07475152927049</v>
      </c>
      <c r="AC130" s="216">
        <f t="shared" si="12"/>
        <v>0.11872835436471453</v>
      </c>
    </row>
    <row r="131" spans="1:29" s="81" customFormat="1" ht="26.25" x14ac:dyDescent="0.25">
      <c r="A131" s="70">
        <v>129</v>
      </c>
      <c r="B131" s="71">
        <v>30132</v>
      </c>
      <c r="C131" s="72" t="s">
        <v>304</v>
      </c>
      <c r="D131" s="84" t="s">
        <v>754</v>
      </c>
      <c r="E131" s="69"/>
      <c r="F131" s="74">
        <f>12509831.9555664/10000</f>
        <v>1250.9831955566401</v>
      </c>
      <c r="G131" s="75" t="s">
        <v>11</v>
      </c>
      <c r="H131" s="76">
        <v>0</v>
      </c>
      <c r="I131" s="76">
        <v>0</v>
      </c>
      <c r="J131" s="76">
        <f t="shared" si="21"/>
        <v>0</v>
      </c>
      <c r="K131" s="302">
        <f>ZoneInondable2022!G420</f>
        <v>47.348059999999997</v>
      </c>
      <c r="L131" s="302">
        <f>ZoneInondable2022!G596</f>
        <v>6.7003339999999998</v>
      </c>
      <c r="M131" s="302">
        <f>ZoneInondable2022!G175</f>
        <v>64.511039999999994</v>
      </c>
      <c r="N131" s="76"/>
      <c r="O131" s="76"/>
      <c r="P131" s="76"/>
      <c r="Q131" s="76">
        <f t="shared" si="13"/>
        <v>118.55943399999998</v>
      </c>
      <c r="R131" s="77">
        <f t="shared" ref="R131:R194" si="22">Q131/F131</f>
        <v>9.4773002883740201E-2</v>
      </c>
      <c r="S131" s="324">
        <v>9.9317065067227345E-2</v>
      </c>
      <c r="T131" s="78">
        <v>0</v>
      </c>
      <c r="U131" s="79">
        <v>0</v>
      </c>
      <c r="V131" s="80">
        <v>0</v>
      </c>
      <c r="W131" s="80">
        <v>52.704209334776699</v>
      </c>
      <c r="X131" s="80">
        <v>6.8883685768301106</v>
      </c>
      <c r="Y131" s="80">
        <v>64.651401519499998</v>
      </c>
      <c r="Z131" s="80">
        <v>0</v>
      </c>
      <c r="AA131" s="80"/>
      <c r="AB131" s="164">
        <f t="shared" si="14"/>
        <v>124.24397943110681</v>
      </c>
      <c r="AC131" s="216">
        <f t="shared" ref="AC131:AC194" si="23">AB131/F131</f>
        <v>9.9317065067227345E-2</v>
      </c>
    </row>
    <row r="132" spans="1:29" s="81" customFormat="1" ht="18.75" customHeight="1" x14ac:dyDescent="0.25">
      <c r="A132" s="70">
        <v>130</v>
      </c>
      <c r="B132" s="71">
        <v>30133</v>
      </c>
      <c r="C132" s="72" t="s">
        <v>344</v>
      </c>
      <c r="D132" s="165" t="s">
        <v>756</v>
      </c>
      <c r="E132" s="69" t="s">
        <v>793</v>
      </c>
      <c r="F132" s="74">
        <f>57964098.8764648/10000</f>
        <v>5796.4098876464795</v>
      </c>
      <c r="G132" s="75" t="s">
        <v>11</v>
      </c>
      <c r="H132" s="76">
        <f>T132/10000</f>
        <v>0</v>
      </c>
      <c r="I132" s="76">
        <v>0</v>
      </c>
      <c r="J132" s="76">
        <f t="shared" si="21"/>
        <v>0</v>
      </c>
      <c r="K132" s="302">
        <f>ZoneInondable2022!G432</f>
        <v>4961.5063</v>
      </c>
      <c r="L132" s="302">
        <f>ZoneInondable2022!G208</f>
        <v>250.43503999999999</v>
      </c>
      <c r="M132" s="302">
        <f>ZoneInondable2022!G525</f>
        <v>141.37935999999999</v>
      </c>
      <c r="N132" s="76"/>
      <c r="O132" s="76"/>
      <c r="P132" s="302">
        <f>ZoneInondable2022!G580</f>
        <v>252.13930999999999</v>
      </c>
      <c r="Q132" s="76">
        <f t="shared" ref="Q132:Q195" si="24">SUM(H132:P132)</f>
        <v>5605.4600099999998</v>
      </c>
      <c r="R132" s="77">
        <f t="shared" si="22"/>
        <v>0.96705721621698304</v>
      </c>
      <c r="S132" s="324">
        <v>0.97730656567461438</v>
      </c>
      <c r="T132" s="78">
        <v>0</v>
      </c>
      <c r="U132" s="79">
        <v>0</v>
      </c>
      <c r="V132" s="80">
        <v>0</v>
      </c>
      <c r="W132" s="80">
        <v>5029.8633656249904</v>
      </c>
      <c r="X132" s="80">
        <v>249.753035320408</v>
      </c>
      <c r="Y132" s="80">
        <v>142.59192851975999</v>
      </c>
      <c r="Z132" s="80"/>
      <c r="AA132" s="80">
        <v>242.66111107299997</v>
      </c>
      <c r="AB132" s="164">
        <f t="shared" ref="AB132:AB195" si="25">SUM(T132+U132+V132+W132+X132+Y132+Z132+AA132)</f>
        <v>5664.8694405381584</v>
      </c>
      <c r="AC132" s="216">
        <f t="shared" si="23"/>
        <v>0.97730656567461438</v>
      </c>
    </row>
    <row r="133" spans="1:29" s="199" customFormat="1" x14ac:dyDescent="0.25">
      <c r="A133" s="186">
        <v>131</v>
      </c>
      <c r="B133" s="187">
        <v>30134</v>
      </c>
      <c r="C133" s="188" t="s">
        <v>568</v>
      </c>
      <c r="D133" s="189" t="s">
        <v>765</v>
      </c>
      <c r="E133" s="190" t="s">
        <v>772</v>
      </c>
      <c r="F133" s="191">
        <f>20324113.2133789/10000</f>
        <v>2032.4113213378898</v>
      </c>
      <c r="G133" s="192" t="s">
        <v>781</v>
      </c>
      <c r="H133" s="302">
        <f>ZoneInondable2022!G494</f>
        <v>25.279312000000001</v>
      </c>
      <c r="I133" s="193">
        <v>0</v>
      </c>
      <c r="J133" s="193">
        <v>0</v>
      </c>
      <c r="K133" s="302">
        <f>ZoneInondable2022!G746</f>
        <v>6.3689117</v>
      </c>
      <c r="L133" s="193">
        <v>0</v>
      </c>
      <c r="M133" s="193">
        <f>Y133/10000</f>
        <v>0</v>
      </c>
      <c r="N133" s="193"/>
      <c r="O133" s="193"/>
      <c r="P133" s="193"/>
      <c r="Q133" s="193">
        <f t="shared" si="24"/>
        <v>31.648223700000003</v>
      </c>
      <c r="R133" s="194">
        <f t="shared" si="22"/>
        <v>1.5571761172421881E-2</v>
      </c>
      <c r="S133" s="324">
        <v>1.5322880717673661E-2</v>
      </c>
      <c r="T133" s="195">
        <v>24.7739976475</v>
      </c>
      <c r="U133" s="196">
        <v>0</v>
      </c>
      <c r="V133" s="196">
        <v>0</v>
      </c>
      <c r="W133" s="197">
        <v>6.3683985986099998</v>
      </c>
      <c r="X133" s="197">
        <v>0</v>
      </c>
      <c r="Y133" s="197">
        <v>0</v>
      </c>
      <c r="Z133" s="197"/>
      <c r="AA133" s="197"/>
      <c r="AB133" s="198">
        <f t="shared" si="25"/>
        <v>31.14239624611</v>
      </c>
      <c r="AC133" s="216">
        <f t="shared" si="23"/>
        <v>1.5322880717673661E-2</v>
      </c>
    </row>
    <row r="134" spans="1:29" s="81" customFormat="1" ht="26.25" x14ac:dyDescent="0.25">
      <c r="A134" s="70">
        <v>132</v>
      </c>
      <c r="B134" s="71">
        <v>30135</v>
      </c>
      <c r="C134" s="72" t="s">
        <v>794</v>
      </c>
      <c r="D134" s="84" t="s">
        <v>758</v>
      </c>
      <c r="E134" s="69"/>
      <c r="F134" s="74">
        <f>21447294.21875/10000</f>
        <v>2144.7294218749998</v>
      </c>
      <c r="G134" s="75" t="s">
        <v>11</v>
      </c>
      <c r="H134" s="76">
        <v>0</v>
      </c>
      <c r="I134" s="76">
        <v>0</v>
      </c>
      <c r="J134" s="76">
        <f t="shared" ref="J134:J154" si="26">V134/10000</f>
        <v>0</v>
      </c>
      <c r="K134" s="302">
        <f>ZoneInondable2022!G697</f>
        <v>186.48586</v>
      </c>
      <c r="L134" s="302">
        <f>ZoneInondable2022!G384</f>
        <v>121.50458</v>
      </c>
      <c r="M134" s="302">
        <f>ZoneInondable2022!G582</f>
        <v>90.346779999999995</v>
      </c>
      <c r="N134" s="76"/>
      <c r="O134" s="76"/>
      <c r="P134" s="76"/>
      <c r="Q134" s="76">
        <f t="shared" si="24"/>
        <v>398.33722</v>
      </c>
      <c r="R134" s="77">
        <f t="shared" si="22"/>
        <v>0.18572842613021051</v>
      </c>
      <c r="S134" s="324">
        <v>0.18654095109593627</v>
      </c>
      <c r="T134" s="78">
        <v>0</v>
      </c>
      <c r="U134" s="79">
        <v>0</v>
      </c>
      <c r="V134" s="80">
        <v>0</v>
      </c>
      <c r="W134" s="80">
        <v>186.88245980000005</v>
      </c>
      <c r="X134" s="80">
        <v>122.71916419999999</v>
      </c>
      <c r="Y134" s="80">
        <v>90.478242199999997</v>
      </c>
      <c r="Z134" s="80"/>
      <c r="AA134" s="80"/>
      <c r="AB134" s="164">
        <f t="shared" si="25"/>
        <v>400.07986620000003</v>
      </c>
      <c r="AC134" s="216">
        <f t="shared" si="23"/>
        <v>0.18654095109593627</v>
      </c>
    </row>
    <row r="135" spans="1:29" s="81" customFormat="1" x14ac:dyDescent="0.25">
      <c r="A135" s="70">
        <v>133</v>
      </c>
      <c r="B135" s="71">
        <v>30136</v>
      </c>
      <c r="C135" s="72" t="s">
        <v>630</v>
      </c>
      <c r="D135" s="84" t="s">
        <v>755</v>
      </c>
      <c r="E135" s="69"/>
      <c r="F135" s="74">
        <f>7845877.68310546/10000</f>
        <v>784.58776831054604</v>
      </c>
      <c r="G135" s="75" t="s">
        <v>11</v>
      </c>
      <c r="H135" s="76">
        <v>0</v>
      </c>
      <c r="I135" s="76">
        <v>0</v>
      </c>
      <c r="J135" s="76">
        <f t="shared" si="26"/>
        <v>0</v>
      </c>
      <c r="K135" s="302">
        <f>ZoneInondable2022!G808</f>
        <v>94.870490000000004</v>
      </c>
      <c r="L135" s="302">
        <f>ZoneInondable2022!G638</f>
        <v>0.49946252000000002</v>
      </c>
      <c r="M135" s="302">
        <f>ZoneInondable2022!G646</f>
        <v>13.274906</v>
      </c>
      <c r="N135" s="76"/>
      <c r="O135" s="76"/>
      <c r="P135" s="76"/>
      <c r="Q135" s="76">
        <f t="shared" si="24"/>
        <v>108.64485852</v>
      </c>
      <c r="R135" s="77">
        <f t="shared" si="22"/>
        <v>0.13847381122693911</v>
      </c>
      <c r="S135" s="324">
        <v>0.14679098729781964</v>
      </c>
      <c r="T135" s="78">
        <v>0</v>
      </c>
      <c r="U135" s="79">
        <v>0</v>
      </c>
      <c r="V135" s="80">
        <v>0</v>
      </c>
      <c r="W135" s="80">
        <v>101.57428543200001</v>
      </c>
      <c r="X135" s="80">
        <v>0.49879668379799996</v>
      </c>
      <c r="Y135" s="80">
        <v>13.0973310163</v>
      </c>
      <c r="Z135" s="80"/>
      <c r="AA135" s="80"/>
      <c r="AB135" s="164">
        <f t="shared" si="25"/>
        <v>115.17041313209802</v>
      </c>
      <c r="AC135" s="216">
        <f t="shared" si="23"/>
        <v>0.14679098729781964</v>
      </c>
    </row>
    <row r="136" spans="1:29" s="149" customFormat="1" x14ac:dyDescent="0.25">
      <c r="A136" s="138">
        <v>134</v>
      </c>
      <c r="B136" s="139">
        <v>30137</v>
      </c>
      <c r="C136" s="140" t="s">
        <v>697</v>
      </c>
      <c r="D136" s="141" t="s">
        <v>754</v>
      </c>
      <c r="E136" s="137"/>
      <c r="F136" s="142">
        <f>8787058.93115234/10000</f>
        <v>878.70589311523395</v>
      </c>
      <c r="G136" s="143" t="s">
        <v>778</v>
      </c>
      <c r="H136" s="144">
        <v>0</v>
      </c>
      <c r="I136" s="144">
        <v>0</v>
      </c>
      <c r="J136" s="144">
        <f t="shared" si="26"/>
        <v>0</v>
      </c>
      <c r="K136" s="144">
        <v>0</v>
      </c>
      <c r="L136" s="144">
        <v>0</v>
      </c>
      <c r="M136" s="302">
        <f>ZoneInondable2022!G770</f>
        <v>5.7208360000000003</v>
      </c>
      <c r="N136" s="144"/>
      <c r="O136" s="144"/>
      <c r="P136" s="144"/>
      <c r="Q136" s="144">
        <f t="shared" si="24"/>
        <v>5.7208360000000003</v>
      </c>
      <c r="R136" s="145">
        <f t="shared" si="22"/>
        <v>6.5105242207016438E-3</v>
      </c>
      <c r="S136" s="324">
        <v>8.8685946222145547E-3</v>
      </c>
      <c r="T136" s="146">
        <v>0</v>
      </c>
      <c r="U136" s="147">
        <v>0</v>
      </c>
      <c r="V136" s="148">
        <v>0</v>
      </c>
      <c r="W136" s="148">
        <v>0</v>
      </c>
      <c r="X136" s="148">
        <v>0</v>
      </c>
      <c r="Y136" s="148">
        <v>7.7928863581900005</v>
      </c>
      <c r="Z136" s="148"/>
      <c r="AA136" s="148"/>
      <c r="AB136" s="162">
        <f t="shared" si="25"/>
        <v>7.7928863581900005</v>
      </c>
      <c r="AC136" s="216">
        <f t="shared" si="23"/>
        <v>8.8685946222145547E-3</v>
      </c>
    </row>
    <row r="137" spans="1:29" s="81" customFormat="1" ht="18" customHeight="1" x14ac:dyDescent="0.25">
      <c r="A137" s="70">
        <v>135</v>
      </c>
      <c r="B137" s="71">
        <v>30138</v>
      </c>
      <c r="C137" s="72" t="s">
        <v>479</v>
      </c>
      <c r="D137" s="84" t="s">
        <v>758</v>
      </c>
      <c r="E137" s="69"/>
      <c r="F137" s="74">
        <f>9078677.73046875/10000</f>
        <v>907.86777304687496</v>
      </c>
      <c r="G137" s="75" t="s">
        <v>11</v>
      </c>
      <c r="H137" s="76">
        <v>0</v>
      </c>
      <c r="I137" s="76">
        <v>0</v>
      </c>
      <c r="J137" s="76">
        <f t="shared" si="26"/>
        <v>0</v>
      </c>
      <c r="K137" s="302">
        <f>ZoneInondable2022!G695</f>
        <v>20.924578</v>
      </c>
      <c r="L137" s="302">
        <f>ZoneInondable2022!G446</f>
        <v>26.446480000000001</v>
      </c>
      <c r="M137" s="302">
        <f>ZoneInondable2022!G334</f>
        <v>72.406499999999994</v>
      </c>
      <c r="N137" s="76"/>
      <c r="O137" s="76"/>
      <c r="P137" s="76"/>
      <c r="Q137" s="76">
        <f t="shared" si="24"/>
        <v>119.777558</v>
      </c>
      <c r="R137" s="201">
        <f t="shared" si="22"/>
        <v>0.13193282277001328</v>
      </c>
      <c r="S137" s="324">
        <v>0.19718604384336585</v>
      </c>
      <c r="T137" s="78">
        <v>0</v>
      </c>
      <c r="U137" s="79">
        <v>0</v>
      </c>
      <c r="V137" s="80">
        <v>0</v>
      </c>
      <c r="W137" s="80">
        <v>20.694814399999998</v>
      </c>
      <c r="X137" s="80">
        <v>34.478217200000003</v>
      </c>
      <c r="Y137" s="80">
        <v>66.091260800000001</v>
      </c>
      <c r="Z137" s="80">
        <v>57.754562100000001</v>
      </c>
      <c r="AA137" s="80"/>
      <c r="AB137" s="164">
        <f t="shared" si="25"/>
        <v>179.0188545</v>
      </c>
      <c r="AC137" s="216">
        <f t="shared" si="23"/>
        <v>0.19718604384336585</v>
      </c>
    </row>
    <row r="138" spans="1:29" s="33" customFormat="1" x14ac:dyDescent="0.25">
      <c r="A138" s="30">
        <v>136</v>
      </c>
      <c r="B138" s="18">
        <v>30139</v>
      </c>
      <c r="C138" s="19" t="s">
        <v>314</v>
      </c>
      <c r="D138" s="20" t="s">
        <v>785</v>
      </c>
      <c r="E138" s="21"/>
      <c r="F138" s="22">
        <f>62779480.6113281/10000</f>
        <v>6277.9480611328099</v>
      </c>
      <c r="G138" s="23" t="s">
        <v>761</v>
      </c>
      <c r="H138" s="302">
        <f>ZoneInondable2022!G187</f>
        <v>107.98269000000001</v>
      </c>
      <c r="I138" s="24">
        <v>0</v>
      </c>
      <c r="J138" s="24">
        <f t="shared" si="26"/>
        <v>0</v>
      </c>
      <c r="K138" s="24">
        <f t="shared" ref="K138:M139" si="27">W138/10000</f>
        <v>0</v>
      </c>
      <c r="L138" s="24">
        <f t="shared" si="27"/>
        <v>0</v>
      </c>
      <c r="M138" s="24">
        <f t="shared" si="27"/>
        <v>0</v>
      </c>
      <c r="N138" s="24"/>
      <c r="O138" s="24"/>
      <c r="P138" s="24"/>
      <c r="Q138" s="24">
        <f t="shared" si="24"/>
        <v>107.98269000000001</v>
      </c>
      <c r="R138" s="85">
        <f t="shared" si="22"/>
        <v>1.7200315923052621E-2</v>
      </c>
      <c r="S138" s="324">
        <v>1.7480918779088694E-2</v>
      </c>
      <c r="T138" s="31">
        <v>109.74430015599999</v>
      </c>
      <c r="U138" s="24">
        <v>0</v>
      </c>
      <c r="V138" s="32">
        <v>0</v>
      </c>
      <c r="W138" s="32">
        <v>0</v>
      </c>
      <c r="X138" s="32">
        <v>0</v>
      </c>
      <c r="Y138" s="32">
        <v>0</v>
      </c>
      <c r="Z138" s="32"/>
      <c r="AA138" s="32"/>
      <c r="AB138" s="160">
        <f t="shared" si="25"/>
        <v>109.74430015599999</v>
      </c>
      <c r="AC138" s="216">
        <f t="shared" si="23"/>
        <v>1.7480918779088694E-2</v>
      </c>
    </row>
    <row r="139" spans="1:29" s="28" customFormat="1" x14ac:dyDescent="0.25">
      <c r="A139" s="17">
        <v>137</v>
      </c>
      <c r="B139" s="18">
        <v>30140</v>
      </c>
      <c r="C139" s="19" t="s">
        <v>312</v>
      </c>
      <c r="D139" s="20" t="s">
        <v>754</v>
      </c>
      <c r="E139" s="21"/>
      <c r="F139" s="22">
        <f>10132943.390625/10000</f>
        <v>1013.2943390624999</v>
      </c>
      <c r="G139" s="23" t="s">
        <v>761</v>
      </c>
      <c r="H139" s="302">
        <f>ZoneInondable2022!G186</f>
        <v>50.299843000000003</v>
      </c>
      <c r="I139" s="24">
        <v>0</v>
      </c>
      <c r="J139" s="24">
        <f t="shared" si="26"/>
        <v>0</v>
      </c>
      <c r="K139" s="24">
        <f t="shared" si="27"/>
        <v>0</v>
      </c>
      <c r="L139" s="24">
        <f t="shared" si="27"/>
        <v>0</v>
      </c>
      <c r="M139" s="24">
        <f t="shared" si="27"/>
        <v>0</v>
      </c>
      <c r="N139" s="24"/>
      <c r="O139" s="24"/>
      <c r="P139" s="24"/>
      <c r="Q139" s="24">
        <f t="shared" si="24"/>
        <v>50.299843000000003</v>
      </c>
      <c r="R139" s="85">
        <f t="shared" si="22"/>
        <v>4.9639913163373066E-2</v>
      </c>
      <c r="S139" s="324">
        <v>5.0255559807641473E-2</v>
      </c>
      <c r="T139" s="25">
        <v>50.923674259500004</v>
      </c>
      <c r="U139" s="26">
        <v>0</v>
      </c>
      <c r="V139" s="27">
        <v>0</v>
      </c>
      <c r="W139" s="27">
        <v>0</v>
      </c>
      <c r="X139" s="27">
        <v>0</v>
      </c>
      <c r="Y139" s="27">
        <v>0</v>
      </c>
      <c r="Z139" s="27"/>
      <c r="AA139" s="27"/>
      <c r="AB139" s="160">
        <f t="shared" si="25"/>
        <v>50.923674259500004</v>
      </c>
      <c r="AC139" s="216">
        <f t="shared" si="23"/>
        <v>5.0255559807641473E-2</v>
      </c>
    </row>
    <row r="140" spans="1:29" s="81" customFormat="1" x14ac:dyDescent="0.25">
      <c r="A140" s="70">
        <v>138</v>
      </c>
      <c r="B140" s="71">
        <v>30141</v>
      </c>
      <c r="C140" s="72" t="s">
        <v>795</v>
      </c>
      <c r="D140" s="84" t="s">
        <v>765</v>
      </c>
      <c r="E140" s="69" t="s">
        <v>787</v>
      </c>
      <c r="F140" s="74">
        <f>34215210.0688476/10000</f>
        <v>3421.5210068847596</v>
      </c>
      <c r="G140" s="75" t="s">
        <v>11</v>
      </c>
      <c r="H140" s="76">
        <v>0</v>
      </c>
      <c r="I140" s="76">
        <v>0</v>
      </c>
      <c r="J140" s="76">
        <f t="shared" si="26"/>
        <v>0</v>
      </c>
      <c r="K140" s="302">
        <f>ZoneInondable2022!G755</f>
        <v>634.56949999999995</v>
      </c>
      <c r="L140" s="302">
        <f>ZoneInondable2022!G774</f>
        <v>416.83062999999999</v>
      </c>
      <c r="M140" s="302">
        <f>ZoneInondable2022!G266</f>
        <v>68.244910000000004</v>
      </c>
      <c r="N140" s="76"/>
      <c r="O140" s="76"/>
      <c r="P140" s="76"/>
      <c r="Q140" s="76">
        <f t="shared" si="24"/>
        <v>1119.6450399999999</v>
      </c>
      <c r="R140" s="90">
        <f t="shared" si="22"/>
        <v>0.32723605605432737</v>
      </c>
      <c r="S140" s="324">
        <v>0.15450853536283626</v>
      </c>
      <c r="T140" s="78">
        <v>307.17904318699999</v>
      </c>
      <c r="U140" s="79">
        <v>0</v>
      </c>
      <c r="V140" s="80">
        <v>0</v>
      </c>
      <c r="W140" s="80">
        <v>118.446529489131</v>
      </c>
      <c r="X140" s="80">
        <v>103.02862681081001</v>
      </c>
      <c r="Y140" s="80">
        <v>0</v>
      </c>
      <c r="Z140" s="80"/>
      <c r="AA140" s="80"/>
      <c r="AB140" s="164">
        <f t="shared" si="25"/>
        <v>528.65419948694102</v>
      </c>
      <c r="AC140" s="216">
        <f t="shared" si="23"/>
        <v>0.15450853536283626</v>
      </c>
    </row>
    <row r="141" spans="1:29" s="81" customFormat="1" ht="16.5" customHeight="1" x14ac:dyDescent="0.25">
      <c r="A141" s="70">
        <v>139</v>
      </c>
      <c r="B141" s="71">
        <v>30142</v>
      </c>
      <c r="C141" s="72" t="s">
        <v>50</v>
      </c>
      <c r="D141" s="84" t="s">
        <v>754</v>
      </c>
      <c r="E141" s="69" t="s">
        <v>783</v>
      </c>
      <c r="F141" s="74">
        <f>17629797.4726562/10000</f>
        <v>1762.9797472656201</v>
      </c>
      <c r="G141" s="75" t="s">
        <v>11</v>
      </c>
      <c r="H141" s="76">
        <v>0</v>
      </c>
      <c r="I141" s="76">
        <v>0</v>
      </c>
      <c r="J141" s="76">
        <f t="shared" si="26"/>
        <v>0</v>
      </c>
      <c r="K141" s="302">
        <f>ZoneInondable2022!G16</f>
        <v>26.834871</v>
      </c>
      <c r="L141" s="302">
        <f>ZoneInondable2022!G607</f>
        <v>9.2164590000000004</v>
      </c>
      <c r="M141" s="302">
        <f>ZoneInondable2022!G340</f>
        <v>42.565125000000002</v>
      </c>
      <c r="N141" s="76"/>
      <c r="O141" s="76"/>
      <c r="P141" s="76"/>
      <c r="Q141" s="76">
        <f t="shared" si="24"/>
        <v>78.616455000000002</v>
      </c>
      <c r="R141" s="77">
        <f t="shared" si="22"/>
        <v>4.459294278447274E-2</v>
      </c>
      <c r="S141" s="324">
        <v>4.4199489772348111E-2</v>
      </c>
      <c r="T141" s="78">
        <v>0</v>
      </c>
      <c r="U141" s="79">
        <v>0</v>
      </c>
      <c r="V141" s="80">
        <v>0</v>
      </c>
      <c r="W141" s="80">
        <v>27.781276159022998</v>
      </c>
      <c r="X141" s="80">
        <v>9.25089968776064</v>
      </c>
      <c r="Y141" s="80">
        <v>40.890629461339998</v>
      </c>
      <c r="Z141" s="80"/>
      <c r="AA141" s="80"/>
      <c r="AB141" s="164">
        <f t="shared" si="25"/>
        <v>77.922805308123628</v>
      </c>
      <c r="AC141" s="216">
        <f t="shared" si="23"/>
        <v>4.4199489772348111E-2</v>
      </c>
    </row>
    <row r="142" spans="1:29" s="28" customFormat="1" ht="26.25" x14ac:dyDescent="0.25">
      <c r="A142" s="17">
        <v>140</v>
      </c>
      <c r="B142" s="18">
        <v>30143</v>
      </c>
      <c r="C142" s="19" t="s">
        <v>796</v>
      </c>
      <c r="D142" s="20" t="s">
        <v>797</v>
      </c>
      <c r="E142" s="21"/>
      <c r="F142" s="22">
        <f>10438940.9907226/10000</f>
        <v>1043.8940990722601</v>
      </c>
      <c r="G142" s="23" t="s">
        <v>761</v>
      </c>
      <c r="H142" s="302">
        <f>ZoneInondable2022!G339</f>
        <v>62.412906999999997</v>
      </c>
      <c r="I142" s="24">
        <v>0</v>
      </c>
      <c r="J142" s="24">
        <f t="shared" si="26"/>
        <v>0</v>
      </c>
      <c r="K142" s="24">
        <v>0</v>
      </c>
      <c r="L142" s="24">
        <v>0</v>
      </c>
      <c r="M142" s="24">
        <v>0</v>
      </c>
      <c r="N142" s="24"/>
      <c r="O142" s="24"/>
      <c r="P142" s="24"/>
      <c r="Q142" s="24">
        <f t="shared" si="24"/>
        <v>62.412906999999997</v>
      </c>
      <c r="R142" s="85">
        <f t="shared" si="22"/>
        <v>5.9788542779835821E-2</v>
      </c>
      <c r="S142" s="324">
        <v>5.7988603376528655E-2</v>
      </c>
      <c r="T142" s="25">
        <v>60.533960878200006</v>
      </c>
      <c r="U142" s="26">
        <v>0</v>
      </c>
      <c r="V142" s="27">
        <v>0</v>
      </c>
      <c r="W142" s="27">
        <v>0</v>
      </c>
      <c r="X142" s="27">
        <v>0</v>
      </c>
      <c r="Y142" s="27">
        <v>0</v>
      </c>
      <c r="Z142" s="27"/>
      <c r="AA142" s="27"/>
      <c r="AB142" s="160">
        <f t="shared" si="25"/>
        <v>60.533960878200006</v>
      </c>
      <c r="AC142" s="216">
        <f t="shared" si="23"/>
        <v>5.7988603376528655E-2</v>
      </c>
    </row>
    <row r="143" spans="1:29" s="81" customFormat="1" x14ac:dyDescent="0.25">
      <c r="A143" s="70">
        <v>141</v>
      </c>
      <c r="B143" s="71">
        <v>30144</v>
      </c>
      <c r="C143" s="72" t="s">
        <v>524</v>
      </c>
      <c r="D143" s="84" t="s">
        <v>755</v>
      </c>
      <c r="E143" s="69"/>
      <c r="F143" s="74">
        <f>5152967.85253906/10000</f>
        <v>515.29678525390602</v>
      </c>
      <c r="G143" s="75" t="s">
        <v>11</v>
      </c>
      <c r="H143" s="76">
        <v>0</v>
      </c>
      <c r="I143" s="76">
        <v>0</v>
      </c>
      <c r="J143" s="76">
        <f t="shared" si="26"/>
        <v>0</v>
      </c>
      <c r="K143" s="302">
        <f>ZoneInondable2022!G678</f>
        <v>90.880650000000003</v>
      </c>
      <c r="L143" s="302">
        <f>ZoneInondable2022!G398</f>
        <v>0.52243779999999995</v>
      </c>
      <c r="M143" s="302">
        <f>ZoneInondable2022!G804</f>
        <v>13.94989</v>
      </c>
      <c r="N143" s="76"/>
      <c r="O143" s="76"/>
      <c r="P143" s="76"/>
      <c r="Q143" s="76">
        <f t="shared" si="24"/>
        <v>105.35297780000001</v>
      </c>
      <c r="R143" s="77">
        <f t="shared" si="22"/>
        <v>0.20445106745249467</v>
      </c>
      <c r="S143" s="324">
        <v>0.18792416415807817</v>
      </c>
      <c r="T143" s="78">
        <v>0</v>
      </c>
      <c r="U143" s="79">
        <v>0</v>
      </c>
      <c r="V143" s="80">
        <v>0</v>
      </c>
      <c r="W143" s="80">
        <v>83.249224299199994</v>
      </c>
      <c r="X143" s="80">
        <v>0.52269550128499997</v>
      </c>
      <c r="Y143" s="80">
        <v>13.064797861700001</v>
      </c>
      <c r="Z143" s="80"/>
      <c r="AA143" s="80"/>
      <c r="AB143" s="164">
        <f t="shared" si="25"/>
        <v>96.836717662184995</v>
      </c>
      <c r="AC143" s="216">
        <f t="shared" si="23"/>
        <v>0.18792416415807817</v>
      </c>
    </row>
    <row r="144" spans="1:29" s="81" customFormat="1" ht="16.5" customHeight="1" x14ac:dyDescent="0.25">
      <c r="A144" s="70">
        <v>142</v>
      </c>
      <c r="B144" s="71">
        <v>30145</v>
      </c>
      <c r="C144" s="72" t="s">
        <v>435</v>
      </c>
      <c r="D144" s="84" t="s">
        <v>758</v>
      </c>
      <c r="E144" s="69" t="s">
        <v>779</v>
      </c>
      <c r="F144" s="74">
        <f>19386576.2207031/10000</f>
        <v>1938.6576220703098</v>
      </c>
      <c r="G144" s="75" t="s">
        <v>11</v>
      </c>
      <c r="H144" s="76">
        <v>0</v>
      </c>
      <c r="I144" s="76">
        <v>0</v>
      </c>
      <c r="J144" s="76">
        <f t="shared" si="26"/>
        <v>0</v>
      </c>
      <c r="K144" s="302">
        <f>ZoneInondable2022!G506</f>
        <v>61.700603000000001</v>
      </c>
      <c r="L144" s="302">
        <f>ZoneInondable2022!G283</f>
        <v>124.86629499999999</v>
      </c>
      <c r="M144" s="302">
        <f>ZoneInondable2022!G636</f>
        <v>3.0589542000000001</v>
      </c>
      <c r="N144" s="76"/>
      <c r="O144" s="76"/>
      <c r="P144" s="76"/>
      <c r="Q144" s="76">
        <f t="shared" si="24"/>
        <v>189.62585219999997</v>
      </c>
      <c r="R144" s="77">
        <f t="shared" si="22"/>
        <v>9.7812966065403975E-2</v>
      </c>
      <c r="S144" s="324">
        <v>9.8868422422561969E-2</v>
      </c>
      <c r="T144" s="78">
        <v>0</v>
      </c>
      <c r="U144" s="79">
        <v>0</v>
      </c>
      <c r="V144" s="80">
        <v>0</v>
      </c>
      <c r="W144" s="80">
        <v>62.897161697158907</v>
      </c>
      <c r="X144" s="80">
        <v>125.88199130108799</v>
      </c>
      <c r="Y144" s="80">
        <v>2.8928677133199998</v>
      </c>
      <c r="Z144" s="80"/>
      <c r="AA144" s="80"/>
      <c r="AB144" s="164">
        <f t="shared" si="25"/>
        <v>191.67202071156689</v>
      </c>
      <c r="AC144" s="216">
        <f t="shared" si="23"/>
        <v>9.8868422422561969E-2</v>
      </c>
    </row>
    <row r="145" spans="1:29" s="199" customFormat="1" x14ac:dyDescent="0.25">
      <c r="A145" s="186">
        <v>143</v>
      </c>
      <c r="B145" s="187">
        <v>30146</v>
      </c>
      <c r="C145" s="188" t="s">
        <v>137</v>
      </c>
      <c r="D145" s="189" t="s">
        <v>754</v>
      </c>
      <c r="E145" s="190" t="s">
        <v>791</v>
      </c>
      <c r="F145" s="191">
        <f>6938451.90722656/10000</f>
        <v>693.84519072265596</v>
      </c>
      <c r="G145" s="192" t="s">
        <v>781</v>
      </c>
      <c r="H145" s="36">
        <f>1067863/10000-K145-L145-M145</f>
        <v>66.774255999999994</v>
      </c>
      <c r="I145" s="193">
        <v>0</v>
      </c>
      <c r="J145" s="193">
        <f t="shared" si="26"/>
        <v>0</v>
      </c>
      <c r="K145" s="36">
        <f>ZoneInondable2022!G233-Y145</f>
        <v>22.662602990736001</v>
      </c>
      <c r="L145" s="36">
        <f>0+Y145</f>
        <v>10.582491009264</v>
      </c>
      <c r="M145" s="302">
        <f>ZoneInondable2022!G64</f>
        <v>6.7669499999999996</v>
      </c>
      <c r="N145" s="193"/>
      <c r="O145" s="193"/>
      <c r="P145" s="193"/>
      <c r="Q145" s="193">
        <f t="shared" si="24"/>
        <v>106.7863</v>
      </c>
      <c r="R145" s="194">
        <f t="shared" si="22"/>
        <v>0.15390508059698385</v>
      </c>
      <c r="S145" s="324">
        <v>0.15439935038155125</v>
      </c>
      <c r="T145" s="195">
        <v>66.971792279526298</v>
      </c>
      <c r="U145" s="196">
        <v>0</v>
      </c>
      <c r="V145" s="197">
        <v>0</v>
      </c>
      <c r="W145" s="197">
        <v>0</v>
      </c>
      <c r="X145" s="197">
        <v>29.574963424151299</v>
      </c>
      <c r="Y145" s="197">
        <v>10.582491009264</v>
      </c>
      <c r="Z145" s="197"/>
      <c r="AA145" s="197"/>
      <c r="AB145" s="198">
        <f t="shared" si="25"/>
        <v>107.12924671294161</v>
      </c>
      <c r="AC145" s="216">
        <f t="shared" si="23"/>
        <v>0.15439935038155125</v>
      </c>
    </row>
    <row r="146" spans="1:29" s="28" customFormat="1" x14ac:dyDescent="0.25">
      <c r="A146" s="17">
        <v>144</v>
      </c>
      <c r="B146" s="18">
        <v>30147</v>
      </c>
      <c r="C146" s="19" t="s">
        <v>596</v>
      </c>
      <c r="D146" s="20" t="s">
        <v>754</v>
      </c>
      <c r="E146" s="21" t="s">
        <v>791</v>
      </c>
      <c r="F146" s="22">
        <f>9386329.27099609/10000</f>
        <v>938.63292709960899</v>
      </c>
      <c r="G146" s="23" t="s">
        <v>761</v>
      </c>
      <c r="H146" s="302">
        <f>ZoneInondable2022!G593</f>
        <v>111.90555999999999</v>
      </c>
      <c r="I146" s="24">
        <v>0</v>
      </c>
      <c r="J146" s="24">
        <f t="shared" si="26"/>
        <v>0</v>
      </c>
      <c r="K146" s="24">
        <f t="shared" ref="K146:M147" si="28">W146/10000</f>
        <v>0</v>
      </c>
      <c r="L146" s="24">
        <f t="shared" si="28"/>
        <v>0</v>
      </c>
      <c r="M146" s="24">
        <f t="shared" si="28"/>
        <v>0</v>
      </c>
      <c r="N146" s="24"/>
      <c r="O146" s="24"/>
      <c r="P146" s="24"/>
      <c r="Q146" s="24">
        <f t="shared" si="24"/>
        <v>111.90555999999999</v>
      </c>
      <c r="R146" s="85">
        <f t="shared" si="22"/>
        <v>0.11922185634994714</v>
      </c>
      <c r="S146" s="324">
        <v>0.12203633811776995</v>
      </c>
      <c r="T146" s="25">
        <v>114.54732525999999</v>
      </c>
      <c r="U146" s="26">
        <v>0</v>
      </c>
      <c r="V146" s="27">
        <v>0</v>
      </c>
      <c r="W146" s="27">
        <v>0</v>
      </c>
      <c r="X146" s="27">
        <v>0</v>
      </c>
      <c r="Y146" s="27">
        <v>0</v>
      </c>
      <c r="Z146" s="27"/>
      <c r="AA146" s="27"/>
      <c r="AB146" s="160">
        <f t="shared" si="25"/>
        <v>114.54732525999999</v>
      </c>
      <c r="AC146" s="216">
        <f t="shared" si="23"/>
        <v>0.12203633811776995</v>
      </c>
    </row>
    <row r="147" spans="1:29" s="28" customFormat="1" x14ac:dyDescent="0.25">
      <c r="A147" s="17">
        <v>145</v>
      </c>
      <c r="B147" s="18">
        <v>30148</v>
      </c>
      <c r="C147" s="19" t="s">
        <v>672</v>
      </c>
      <c r="D147" s="20" t="s">
        <v>755</v>
      </c>
      <c r="E147" s="21"/>
      <c r="F147" s="22">
        <f>9537490.90136718/10000</f>
        <v>953.749090136718</v>
      </c>
      <c r="G147" s="23" t="s">
        <v>761</v>
      </c>
      <c r="H147" s="302">
        <f>ZoneInondable2022!G720</f>
        <v>122.906784</v>
      </c>
      <c r="I147" s="24">
        <v>0</v>
      </c>
      <c r="J147" s="24">
        <f t="shared" si="26"/>
        <v>0</v>
      </c>
      <c r="K147" s="24">
        <f t="shared" si="28"/>
        <v>0</v>
      </c>
      <c r="L147" s="24">
        <f t="shared" si="28"/>
        <v>0</v>
      </c>
      <c r="M147" s="24">
        <f t="shared" si="28"/>
        <v>0</v>
      </c>
      <c r="N147" s="24"/>
      <c r="O147" s="24"/>
      <c r="P147" s="24"/>
      <c r="Q147" s="24">
        <f t="shared" si="24"/>
        <v>122.906784</v>
      </c>
      <c r="R147" s="85">
        <f t="shared" si="22"/>
        <v>0.1288670000014171</v>
      </c>
      <c r="S147" s="324">
        <v>0.12542689052091457</v>
      </c>
      <c r="T147" s="25">
        <v>119.62578271300001</v>
      </c>
      <c r="U147" s="26">
        <v>0</v>
      </c>
      <c r="V147" s="27">
        <v>0</v>
      </c>
      <c r="W147" s="27">
        <v>0</v>
      </c>
      <c r="X147" s="27">
        <v>0</v>
      </c>
      <c r="Y147" s="27">
        <v>0</v>
      </c>
      <c r="Z147" s="27"/>
      <c r="AA147" s="27"/>
      <c r="AB147" s="160">
        <f t="shared" si="25"/>
        <v>119.62578271300001</v>
      </c>
      <c r="AC147" s="216">
        <f t="shared" si="23"/>
        <v>0.12542689052091457</v>
      </c>
    </row>
    <row r="148" spans="1:29" s="81" customFormat="1" ht="15.75" customHeight="1" x14ac:dyDescent="0.25">
      <c r="A148" s="70">
        <v>146</v>
      </c>
      <c r="B148" s="71">
        <v>30149</v>
      </c>
      <c r="C148" s="72" t="s">
        <v>178</v>
      </c>
      <c r="D148" s="84" t="s">
        <v>773</v>
      </c>
      <c r="E148" s="69"/>
      <c r="F148" s="74">
        <f>9818922.50732421/10000</f>
        <v>981.89225073242096</v>
      </c>
      <c r="G148" s="75" t="s">
        <v>11</v>
      </c>
      <c r="H148" s="76">
        <v>0</v>
      </c>
      <c r="I148" s="76">
        <v>0</v>
      </c>
      <c r="J148" s="76">
        <f t="shared" si="26"/>
        <v>0</v>
      </c>
      <c r="K148" s="302">
        <f>ZoneInondable2022!G297</f>
        <v>54.78586</v>
      </c>
      <c r="L148" s="302">
        <f>ZoneInondable2022!G88</f>
        <v>21.529266</v>
      </c>
      <c r="M148" s="302">
        <f>ZoneInondable2022!G253</f>
        <v>16.146103</v>
      </c>
      <c r="N148" s="76"/>
      <c r="O148" s="76"/>
      <c r="P148" s="76"/>
      <c r="Q148" s="76">
        <f t="shared" si="24"/>
        <v>92.461228999999989</v>
      </c>
      <c r="R148" s="77">
        <f t="shared" si="22"/>
        <v>9.4166370017718909E-2</v>
      </c>
      <c r="S148" s="324">
        <v>9.4793565414709402E-2</v>
      </c>
      <c r="T148" s="78">
        <v>0</v>
      </c>
      <c r="U148" s="79">
        <v>0</v>
      </c>
      <c r="V148" s="80">
        <v>0</v>
      </c>
      <c r="W148" s="80">
        <v>55.046660699999997</v>
      </c>
      <c r="X148" s="80">
        <v>21.853643299999998</v>
      </c>
      <c r="Y148" s="80">
        <v>16.176763300000001</v>
      </c>
      <c r="Z148" s="80"/>
      <c r="AA148" s="80"/>
      <c r="AB148" s="164">
        <f t="shared" si="25"/>
        <v>93.077067299999996</v>
      </c>
      <c r="AC148" s="216">
        <f t="shared" si="23"/>
        <v>9.4793565414709402E-2</v>
      </c>
    </row>
    <row r="149" spans="1:29" s="28" customFormat="1" ht="26.25" x14ac:dyDescent="0.25">
      <c r="A149" s="17">
        <v>147</v>
      </c>
      <c r="B149" s="18">
        <v>30150</v>
      </c>
      <c r="C149" s="19" t="s">
        <v>284</v>
      </c>
      <c r="D149" s="20" t="s">
        <v>755</v>
      </c>
      <c r="E149" s="21"/>
      <c r="F149" s="22">
        <f>8720331.67675781/10000</f>
        <v>872.0331676757811</v>
      </c>
      <c r="G149" s="23" t="s">
        <v>761</v>
      </c>
      <c r="H149" s="302">
        <f>ZoneInondable2022!G157</f>
        <v>234.19522000000001</v>
      </c>
      <c r="I149" s="302">
        <f>ZoneInondable2022!G820</f>
        <v>20.733156000000001</v>
      </c>
      <c r="J149" s="24">
        <f t="shared" si="26"/>
        <v>0</v>
      </c>
      <c r="K149" s="24">
        <f>W149/10000</f>
        <v>0</v>
      </c>
      <c r="L149" s="24">
        <f>X149/10000</f>
        <v>0</v>
      </c>
      <c r="M149" s="24">
        <f>Y149/10000</f>
        <v>0</v>
      </c>
      <c r="N149" s="24"/>
      <c r="O149" s="24"/>
      <c r="P149" s="24"/>
      <c r="Q149" s="24">
        <f t="shared" si="24"/>
        <v>254.92837600000001</v>
      </c>
      <c r="R149" s="85">
        <f t="shared" si="22"/>
        <v>0.29233793558501608</v>
      </c>
      <c r="S149" s="324">
        <v>0.29159926362473176</v>
      </c>
      <c r="T149" s="25">
        <v>233.10792938</v>
      </c>
      <c r="U149" s="26">
        <v>21.176300170600001</v>
      </c>
      <c r="V149" s="27">
        <v>0</v>
      </c>
      <c r="W149" s="27">
        <v>0</v>
      </c>
      <c r="X149" s="27">
        <v>0</v>
      </c>
      <c r="Y149" s="27">
        <v>0</v>
      </c>
      <c r="Z149" s="27"/>
      <c r="AA149" s="27"/>
      <c r="AB149" s="160">
        <f t="shared" si="25"/>
        <v>254.2842295506</v>
      </c>
      <c r="AC149" s="216">
        <f t="shared" si="23"/>
        <v>0.29159926362473176</v>
      </c>
    </row>
    <row r="150" spans="1:29" s="81" customFormat="1" ht="18" customHeight="1" x14ac:dyDescent="0.25">
      <c r="A150" s="70">
        <v>148</v>
      </c>
      <c r="B150" s="71">
        <v>30151</v>
      </c>
      <c r="C150" s="72" t="s">
        <v>52</v>
      </c>
      <c r="D150" s="84" t="s">
        <v>765</v>
      </c>
      <c r="E150" s="69"/>
      <c r="F150" s="74">
        <f>46753784.1469726/10000</f>
        <v>4675.3784146972594</v>
      </c>
      <c r="G150" s="75" t="s">
        <v>11</v>
      </c>
      <c r="H150" s="76">
        <v>0</v>
      </c>
      <c r="I150" s="76">
        <v>0</v>
      </c>
      <c r="J150" s="76">
        <f t="shared" si="26"/>
        <v>0</v>
      </c>
      <c r="K150" s="302">
        <f>ZoneInondable2022!G18</f>
        <v>182.88598999999999</v>
      </c>
      <c r="L150" s="302">
        <f>ZoneInondable2022!G469</f>
        <v>81.988150000000005</v>
      </c>
      <c r="M150" s="302">
        <f>ZoneInondable2022!G298</f>
        <v>109.60406</v>
      </c>
      <c r="N150" s="76"/>
      <c r="O150" s="76"/>
      <c r="P150" s="76"/>
      <c r="Q150" s="76">
        <f t="shared" si="24"/>
        <v>374.47820000000002</v>
      </c>
      <c r="R150" s="88">
        <f t="shared" si="22"/>
        <v>8.0095805469523315E-2</v>
      </c>
      <c r="S150" s="324">
        <v>3.2413566495353915E-2</v>
      </c>
      <c r="T150" s="78">
        <v>124.10673703502501</v>
      </c>
      <c r="U150" s="79">
        <v>0</v>
      </c>
      <c r="V150" s="80">
        <v>0</v>
      </c>
      <c r="W150" s="80">
        <v>24.124065326876998</v>
      </c>
      <c r="X150" s="80">
        <v>0</v>
      </c>
      <c r="Y150" s="80">
        <v>3.3148867738300005</v>
      </c>
      <c r="Z150" s="80"/>
      <c r="AA150" s="80"/>
      <c r="AB150" s="164">
        <f t="shared" si="25"/>
        <v>151.545689135732</v>
      </c>
      <c r="AC150" s="216">
        <f t="shared" si="23"/>
        <v>3.2413566495353915E-2</v>
      </c>
    </row>
    <row r="151" spans="1:29" s="81" customFormat="1" x14ac:dyDescent="0.25">
      <c r="A151" s="70">
        <v>149</v>
      </c>
      <c r="B151" s="71">
        <v>30152</v>
      </c>
      <c r="C151" s="72" t="s">
        <v>320</v>
      </c>
      <c r="D151" s="84" t="s">
        <v>765</v>
      </c>
      <c r="E151" s="69"/>
      <c r="F151" s="74">
        <f>12689784.2202148/10000</f>
        <v>1268.9784220214801</v>
      </c>
      <c r="G151" s="75" t="s">
        <v>11</v>
      </c>
      <c r="H151" s="76">
        <v>0</v>
      </c>
      <c r="I151" s="76">
        <v>0</v>
      </c>
      <c r="J151" s="76">
        <f t="shared" si="26"/>
        <v>0</v>
      </c>
      <c r="K151" s="302">
        <f>ZoneInondable2022!G406</f>
        <v>80.487365999999994</v>
      </c>
      <c r="L151" s="302">
        <f>ZoneInondable2022!G509</f>
        <v>14.726516</v>
      </c>
      <c r="M151" s="302">
        <f>ZoneInondable2022!G190</f>
        <v>32.70579</v>
      </c>
      <c r="N151" s="76"/>
      <c r="O151" s="76"/>
      <c r="P151" s="76"/>
      <c r="Q151" s="76">
        <f t="shared" si="24"/>
        <v>127.91967199999999</v>
      </c>
      <c r="R151" s="77">
        <f t="shared" si="22"/>
        <v>0.10080523811919843</v>
      </c>
      <c r="S151" s="324">
        <v>0.10044914359628972</v>
      </c>
      <c r="T151" s="78">
        <v>0</v>
      </c>
      <c r="U151" s="79">
        <v>0</v>
      </c>
      <c r="V151" s="80">
        <v>0</v>
      </c>
      <c r="W151" s="80">
        <v>79.835762496696091</v>
      </c>
      <c r="X151" s="80">
        <v>14.730345775432701</v>
      </c>
      <c r="Y151" s="80">
        <v>32.9016874621</v>
      </c>
      <c r="Z151" s="80"/>
      <c r="AA151" s="80"/>
      <c r="AB151" s="164">
        <f t="shared" si="25"/>
        <v>127.46779573422879</v>
      </c>
      <c r="AC151" s="216">
        <f t="shared" si="23"/>
        <v>0.10044914359628972</v>
      </c>
    </row>
    <row r="152" spans="1:29" s="28" customFormat="1" x14ac:dyDescent="0.25">
      <c r="A152" s="17">
        <v>150</v>
      </c>
      <c r="B152" s="18">
        <v>30153</v>
      </c>
      <c r="C152" s="19" t="s">
        <v>536</v>
      </c>
      <c r="D152" s="20" t="s">
        <v>765</v>
      </c>
      <c r="E152" s="21" t="s">
        <v>772</v>
      </c>
      <c r="F152" s="22">
        <f>31227708.9477539/10000</f>
        <v>3122.7708947753899</v>
      </c>
      <c r="G152" s="23" t="s">
        <v>761</v>
      </c>
      <c r="H152" s="302">
        <f>ZoneInondable2022!G431</f>
        <v>20.373719999999999</v>
      </c>
      <c r="I152" s="24">
        <v>0</v>
      </c>
      <c r="J152" s="24">
        <f t="shared" si="26"/>
        <v>0</v>
      </c>
      <c r="K152" s="24">
        <v>0</v>
      </c>
      <c r="L152" s="24">
        <v>0</v>
      </c>
      <c r="M152" s="24">
        <v>0</v>
      </c>
      <c r="N152" s="24"/>
      <c r="O152" s="24"/>
      <c r="P152" s="24"/>
      <c r="Q152" s="24">
        <f t="shared" si="24"/>
        <v>20.373719999999999</v>
      </c>
      <c r="R152" s="85">
        <f t="shared" si="22"/>
        <v>6.5242442326097728E-3</v>
      </c>
      <c r="S152" s="324">
        <v>6.0939446709134138E-3</v>
      </c>
      <c r="T152" s="25">
        <v>19.0299930527</v>
      </c>
      <c r="U152" s="26">
        <v>0</v>
      </c>
      <c r="V152" s="27">
        <v>0</v>
      </c>
      <c r="W152" s="27">
        <v>0</v>
      </c>
      <c r="X152" s="27">
        <v>0</v>
      </c>
      <c r="Y152" s="27">
        <v>0</v>
      </c>
      <c r="Z152" s="27"/>
      <c r="AA152" s="27"/>
      <c r="AB152" s="160">
        <f t="shared" si="25"/>
        <v>19.0299930527</v>
      </c>
      <c r="AC152" s="216">
        <f t="shared" si="23"/>
        <v>6.0939446709134138E-3</v>
      </c>
    </row>
    <row r="153" spans="1:29" s="28" customFormat="1" x14ac:dyDescent="0.25">
      <c r="A153" s="17">
        <v>151</v>
      </c>
      <c r="B153" s="18">
        <v>30154</v>
      </c>
      <c r="C153" s="19" t="s">
        <v>156</v>
      </c>
      <c r="D153" s="20" t="s">
        <v>766</v>
      </c>
      <c r="E153" s="21"/>
      <c r="F153" s="22">
        <f>15124625.2661132/10000</f>
        <v>1512.4625266113198</v>
      </c>
      <c r="G153" s="23" t="s">
        <v>761</v>
      </c>
      <c r="H153" s="302">
        <f>ZoneInondable2022!G74</f>
        <v>32.929650000000002</v>
      </c>
      <c r="I153" s="24">
        <v>0</v>
      </c>
      <c r="J153" s="24">
        <f t="shared" si="26"/>
        <v>0</v>
      </c>
      <c r="K153" s="24">
        <v>0</v>
      </c>
      <c r="L153" s="24">
        <v>0</v>
      </c>
      <c r="M153" s="24">
        <v>0</v>
      </c>
      <c r="N153" s="24"/>
      <c r="O153" s="24"/>
      <c r="P153" s="24"/>
      <c r="Q153" s="24">
        <f t="shared" si="24"/>
        <v>32.929650000000002</v>
      </c>
      <c r="R153" s="85">
        <f t="shared" si="22"/>
        <v>2.1772208845252553E-2</v>
      </c>
      <c r="S153" s="324">
        <v>2.3140264968425337E-2</v>
      </c>
      <c r="T153" s="25">
        <v>34.998783620600001</v>
      </c>
      <c r="U153" s="26">
        <v>0</v>
      </c>
      <c r="V153" s="27">
        <v>0</v>
      </c>
      <c r="W153" s="27">
        <v>0</v>
      </c>
      <c r="X153" s="27">
        <v>0</v>
      </c>
      <c r="Y153" s="27">
        <v>0</v>
      </c>
      <c r="Z153" s="27"/>
      <c r="AA153" s="27"/>
      <c r="AB153" s="160">
        <f t="shared" si="25"/>
        <v>34.998783620600001</v>
      </c>
      <c r="AC153" s="216">
        <f t="shared" si="23"/>
        <v>2.3140264968425337E-2</v>
      </c>
    </row>
    <row r="154" spans="1:29" s="81" customFormat="1" x14ac:dyDescent="0.25">
      <c r="A154" s="70">
        <v>152</v>
      </c>
      <c r="B154" s="71">
        <v>30155</v>
      </c>
      <c r="C154" s="72" t="s">
        <v>176</v>
      </c>
      <c r="D154" s="84" t="s">
        <v>758</v>
      </c>
      <c r="E154" s="69"/>
      <c r="F154" s="74">
        <f>26456705.418457/10000</f>
        <v>2645.6705418457</v>
      </c>
      <c r="G154" s="75" t="s">
        <v>11</v>
      </c>
      <c r="H154" s="76">
        <v>0</v>
      </c>
      <c r="I154" s="76">
        <v>0</v>
      </c>
      <c r="J154" s="76">
        <f t="shared" si="26"/>
        <v>0</v>
      </c>
      <c r="K154" s="302">
        <f>ZoneInondable2022!G178</f>
        <v>103.113846</v>
      </c>
      <c r="L154" s="302">
        <f>ZoneInondable2022!G87</f>
        <v>96.217269999999999</v>
      </c>
      <c r="M154" s="302">
        <f>ZoneInondable2022!G768</f>
        <v>141.42586</v>
      </c>
      <c r="N154" s="76"/>
      <c r="O154" s="76"/>
      <c r="P154" s="76"/>
      <c r="Q154" s="76">
        <f t="shared" si="24"/>
        <v>340.75697600000001</v>
      </c>
      <c r="R154" s="77">
        <f t="shared" si="22"/>
        <v>0.12879796278877476</v>
      </c>
      <c r="S154" s="324">
        <v>0.1291872370064415</v>
      </c>
      <c r="T154" s="78">
        <v>0</v>
      </c>
      <c r="U154" s="79">
        <v>0</v>
      </c>
      <c r="V154" s="80">
        <v>0</v>
      </c>
      <c r="W154" s="80">
        <v>103.11164062421599</v>
      </c>
      <c r="X154" s="80">
        <v>96.523554635164899</v>
      </c>
      <c r="Y154" s="80">
        <v>142.15167207100001</v>
      </c>
      <c r="Z154" s="80"/>
      <c r="AA154" s="80"/>
      <c r="AB154" s="164">
        <f t="shared" si="25"/>
        <v>341.78686733038091</v>
      </c>
      <c r="AC154" s="216">
        <f t="shared" si="23"/>
        <v>0.1291872370064415</v>
      </c>
    </row>
    <row r="155" spans="1:29" s="107" customFormat="1" x14ac:dyDescent="0.25">
      <c r="A155" s="104">
        <v>153</v>
      </c>
      <c r="B155" s="71">
        <v>30156</v>
      </c>
      <c r="C155" s="72" t="s">
        <v>306</v>
      </c>
      <c r="D155" s="84" t="s">
        <v>758</v>
      </c>
      <c r="E155" s="69"/>
      <c r="F155" s="74">
        <f>25403309.7299804/10000</f>
        <v>2540.3309729980401</v>
      </c>
      <c r="G155" s="75" t="s">
        <v>11</v>
      </c>
      <c r="H155" s="76">
        <v>0</v>
      </c>
      <c r="I155" s="76">
        <v>0</v>
      </c>
      <c r="J155" s="302">
        <f>ZoneInondable2022!G179</f>
        <v>8.1757960000000005E-2</v>
      </c>
      <c r="K155" s="302">
        <f>ZoneInondable2022!G348</f>
        <v>252.41699</v>
      </c>
      <c r="L155" s="302">
        <f>ZoneInondable2022!G393</f>
        <v>458.46686</v>
      </c>
      <c r="M155" s="302">
        <f>ZoneInondable2022!G415</f>
        <v>114.24285999999999</v>
      </c>
      <c r="N155" s="76"/>
      <c r="O155" s="76"/>
      <c r="P155" s="76"/>
      <c r="Q155" s="76">
        <f t="shared" si="24"/>
        <v>825.20846795999989</v>
      </c>
      <c r="R155" s="77">
        <f t="shared" si="22"/>
        <v>0.32484289517050918</v>
      </c>
      <c r="S155" s="324">
        <v>0.32677991289100011</v>
      </c>
      <c r="T155" s="105">
        <v>0</v>
      </c>
      <c r="U155" s="76">
        <v>0</v>
      </c>
      <c r="V155" s="106">
        <v>0</v>
      </c>
      <c r="W155" s="106">
        <v>258.31096934778805</v>
      </c>
      <c r="X155" s="106">
        <v>457.10276466882101</v>
      </c>
      <c r="Y155" s="106">
        <v>114.71540005399999</v>
      </c>
      <c r="Z155" s="106"/>
      <c r="AA155" s="106"/>
      <c r="AB155" s="164">
        <f t="shared" si="25"/>
        <v>830.1291340706091</v>
      </c>
      <c r="AC155" s="216">
        <f t="shared" si="23"/>
        <v>0.32677991289100011</v>
      </c>
    </row>
    <row r="156" spans="1:29" s="81" customFormat="1" ht="26.25" x14ac:dyDescent="0.25">
      <c r="A156" s="70">
        <v>155</v>
      </c>
      <c r="B156" s="71">
        <v>30158</v>
      </c>
      <c r="C156" s="72" t="s">
        <v>683</v>
      </c>
      <c r="D156" s="84" t="s">
        <v>754</v>
      </c>
      <c r="E156" s="69"/>
      <c r="F156" s="74">
        <f>4936922.45166015/10000</f>
        <v>493.69224516601497</v>
      </c>
      <c r="G156" s="75" t="s">
        <v>11</v>
      </c>
      <c r="H156" s="76">
        <v>0</v>
      </c>
      <c r="I156" s="76">
        <v>0</v>
      </c>
      <c r="J156" s="76">
        <f t="shared" ref="J156:J166" si="29">V156/10000</f>
        <v>0</v>
      </c>
      <c r="K156" s="36">
        <f>ZoneInondable2022!G736-X156</f>
        <v>46.893713933085593</v>
      </c>
      <c r="L156" s="36">
        <f>0+X156</f>
        <v>16.3487760669144</v>
      </c>
      <c r="M156" s="302">
        <f>ZoneInondable2022!G844</f>
        <v>4.309348</v>
      </c>
      <c r="N156" s="76"/>
      <c r="O156" s="76"/>
      <c r="P156" s="76"/>
      <c r="Q156" s="76">
        <f t="shared" si="24"/>
        <v>67.551837999999989</v>
      </c>
      <c r="R156" s="77">
        <f t="shared" si="22"/>
        <v>0.13682985435042469</v>
      </c>
      <c r="S156" s="324">
        <v>0.13428358347502101</v>
      </c>
      <c r="T156" s="78">
        <v>0</v>
      </c>
      <c r="U156" s="79">
        <v>0</v>
      </c>
      <c r="V156" s="80">
        <v>0</v>
      </c>
      <c r="W156" s="80">
        <v>46.014656315646697</v>
      </c>
      <c r="X156" s="80">
        <v>16.3487760669144</v>
      </c>
      <c r="Y156" s="80">
        <v>3.9313314321600004</v>
      </c>
      <c r="Z156" s="80"/>
      <c r="AA156" s="80"/>
      <c r="AB156" s="164">
        <f t="shared" si="25"/>
        <v>66.294763814721108</v>
      </c>
      <c r="AC156" s="216">
        <f t="shared" si="23"/>
        <v>0.13428358347502101</v>
      </c>
    </row>
    <row r="157" spans="1:29" s="81" customFormat="1" x14ac:dyDescent="0.25">
      <c r="A157" s="70">
        <v>156</v>
      </c>
      <c r="B157" s="71">
        <v>30159</v>
      </c>
      <c r="C157" s="72" t="s">
        <v>346</v>
      </c>
      <c r="D157" s="84" t="s">
        <v>765</v>
      </c>
      <c r="E157" s="69"/>
      <c r="F157" s="74">
        <f>10386002.7441406/10000</f>
        <v>1038.6002744140601</v>
      </c>
      <c r="G157" s="75" t="s">
        <v>11</v>
      </c>
      <c r="H157" s="76">
        <v>0</v>
      </c>
      <c r="I157" s="76">
        <v>0</v>
      </c>
      <c r="J157" s="76">
        <f t="shared" si="29"/>
        <v>0</v>
      </c>
      <c r="K157" s="302">
        <f>ZoneInondable2022!G838</f>
        <v>27.370097999999999</v>
      </c>
      <c r="L157" s="302">
        <f>ZoneInondable2022!G209</f>
        <v>3.4745325999999999</v>
      </c>
      <c r="M157" s="302">
        <f>ZoneInondable2022!G841</f>
        <v>31.241060000000001</v>
      </c>
      <c r="N157" s="76"/>
      <c r="O157" s="76"/>
      <c r="P157" s="76"/>
      <c r="Q157" s="76">
        <f t="shared" si="24"/>
        <v>62.0856906</v>
      </c>
      <c r="R157" s="77">
        <f t="shared" si="22"/>
        <v>5.9778234350098214E-2</v>
      </c>
      <c r="S157" s="324">
        <v>5.8834441996489663E-2</v>
      </c>
      <c r="T157" s="78">
        <v>0</v>
      </c>
      <c r="U157" s="79">
        <v>0</v>
      </c>
      <c r="V157" s="80">
        <v>0</v>
      </c>
      <c r="W157" s="80">
        <v>26.014669974640501</v>
      </c>
      <c r="X157" s="80">
        <v>3.4064938266117699</v>
      </c>
      <c r="Y157" s="80">
        <v>31.684303801299997</v>
      </c>
      <c r="Z157" s="80"/>
      <c r="AA157" s="80"/>
      <c r="AB157" s="164">
        <f t="shared" si="25"/>
        <v>61.105467602552267</v>
      </c>
      <c r="AC157" s="216">
        <f t="shared" si="23"/>
        <v>5.8834441996489663E-2</v>
      </c>
    </row>
    <row r="158" spans="1:29" s="81" customFormat="1" ht="26.25" x14ac:dyDescent="0.25">
      <c r="A158" s="70">
        <v>157</v>
      </c>
      <c r="B158" s="71">
        <v>30160</v>
      </c>
      <c r="C158" s="72" t="s">
        <v>262</v>
      </c>
      <c r="D158" s="84" t="s">
        <v>754</v>
      </c>
      <c r="E158" s="69"/>
      <c r="F158" s="74">
        <f>3780260.44726562/10000</f>
        <v>378.02604472656196</v>
      </c>
      <c r="G158" s="75" t="s">
        <v>11</v>
      </c>
      <c r="H158" s="76">
        <v>0</v>
      </c>
      <c r="I158" s="76">
        <v>0</v>
      </c>
      <c r="J158" s="76">
        <f t="shared" si="29"/>
        <v>0</v>
      </c>
      <c r="K158" s="36">
        <f>ZoneInondable2022!G142-X158</f>
        <v>63.466173997531165</v>
      </c>
      <c r="L158" s="36">
        <f>ZoneInondable2022!G626+X158</f>
        <v>6.4897624124688402</v>
      </c>
      <c r="M158" s="302">
        <f>ZoneInondable2022!G289</f>
        <v>27.148657</v>
      </c>
      <c r="N158" s="76"/>
      <c r="O158" s="76"/>
      <c r="P158" s="76"/>
      <c r="Q158" s="76">
        <f t="shared" si="24"/>
        <v>97.104593410000007</v>
      </c>
      <c r="R158" s="77">
        <f t="shared" si="22"/>
        <v>0.25687275986562985</v>
      </c>
      <c r="S158" s="324">
        <v>0.25383636329955089</v>
      </c>
      <c r="T158" s="78">
        <v>0</v>
      </c>
      <c r="U158" s="79">
        <v>0</v>
      </c>
      <c r="V158" s="80">
        <v>0</v>
      </c>
      <c r="W158" s="80">
        <v>58.502505647235004</v>
      </c>
      <c r="X158" s="80">
        <v>6.3317920024688403</v>
      </c>
      <c r="Y158" s="80">
        <v>31.122458776199998</v>
      </c>
      <c r="Z158" s="80"/>
      <c r="AA158" s="80"/>
      <c r="AB158" s="164">
        <f t="shared" si="25"/>
        <v>95.956756425903848</v>
      </c>
      <c r="AC158" s="216">
        <f t="shared" si="23"/>
        <v>0.25383636329955089</v>
      </c>
    </row>
    <row r="159" spans="1:29" s="28" customFormat="1" x14ac:dyDescent="0.25">
      <c r="A159" s="17">
        <v>158</v>
      </c>
      <c r="B159" s="18">
        <v>30161</v>
      </c>
      <c r="C159" s="19" t="s">
        <v>648</v>
      </c>
      <c r="D159" s="20" t="s">
        <v>754</v>
      </c>
      <c r="E159" s="21"/>
      <c r="F159" s="22">
        <f>1679792.74121093/10000</f>
        <v>167.979274121093</v>
      </c>
      <c r="G159" s="23" t="s">
        <v>761</v>
      </c>
      <c r="H159" s="302">
        <f>ZoneInondable2022!G665</f>
        <v>90.921300000000002</v>
      </c>
      <c r="I159" s="24">
        <v>0</v>
      </c>
      <c r="J159" s="24">
        <f t="shared" si="29"/>
        <v>0</v>
      </c>
      <c r="K159" s="24">
        <v>0</v>
      </c>
      <c r="L159" s="24">
        <v>0</v>
      </c>
      <c r="M159" s="24">
        <v>0</v>
      </c>
      <c r="N159" s="24"/>
      <c r="O159" s="24"/>
      <c r="P159" s="24"/>
      <c r="Q159" s="24">
        <f t="shared" si="24"/>
        <v>90.921300000000002</v>
      </c>
      <c r="R159" s="85">
        <f t="shared" si="22"/>
        <v>0.54126498924180733</v>
      </c>
      <c r="S159" s="324">
        <v>0.54784094393727112</v>
      </c>
      <c r="T159" s="25">
        <v>92.025924096397205</v>
      </c>
      <c r="U159" s="26">
        <v>0</v>
      </c>
      <c r="V159" s="27">
        <v>0</v>
      </c>
      <c r="W159" s="27">
        <v>0</v>
      </c>
      <c r="X159" s="27">
        <v>0</v>
      </c>
      <c r="Y159" s="27">
        <v>0</v>
      </c>
      <c r="Z159" s="27"/>
      <c r="AA159" s="27"/>
      <c r="AB159" s="160">
        <f t="shared" si="25"/>
        <v>92.025924096397205</v>
      </c>
      <c r="AC159" s="216">
        <f t="shared" si="23"/>
        <v>0.54784094393727112</v>
      </c>
    </row>
    <row r="160" spans="1:29" s="28" customFormat="1" ht="26.25" x14ac:dyDescent="0.25">
      <c r="A160" s="17">
        <v>159</v>
      </c>
      <c r="B160" s="18">
        <v>30162</v>
      </c>
      <c r="C160" s="19" t="s">
        <v>624</v>
      </c>
      <c r="D160" s="20" t="s">
        <v>754</v>
      </c>
      <c r="E160" s="21" t="s">
        <v>791</v>
      </c>
      <c r="F160" s="22">
        <f>6273217.48828125/10000</f>
        <v>627.32174882812501</v>
      </c>
      <c r="G160" s="23" t="s">
        <v>761</v>
      </c>
      <c r="H160" s="302">
        <f>ZoneInondable2022!G632</f>
        <v>109.958534</v>
      </c>
      <c r="I160" s="24">
        <v>0</v>
      </c>
      <c r="J160" s="24">
        <f t="shared" si="29"/>
        <v>0</v>
      </c>
      <c r="K160" s="24">
        <v>0</v>
      </c>
      <c r="L160" s="24">
        <v>0</v>
      </c>
      <c r="M160" s="24">
        <v>0</v>
      </c>
      <c r="N160" s="24"/>
      <c r="O160" s="24"/>
      <c r="P160" s="24"/>
      <c r="Q160" s="24">
        <f t="shared" si="24"/>
        <v>109.958534</v>
      </c>
      <c r="R160" s="85">
        <f t="shared" si="22"/>
        <v>0.1752825152410373</v>
      </c>
      <c r="S160" s="324">
        <v>0.16978588418936191</v>
      </c>
      <c r="T160" s="25">
        <v>106.51037779600001</v>
      </c>
      <c r="U160" s="26">
        <v>0</v>
      </c>
      <c r="V160" s="27">
        <v>0</v>
      </c>
      <c r="W160" s="27">
        <v>0</v>
      </c>
      <c r="X160" s="27">
        <v>0</v>
      </c>
      <c r="Y160" s="27">
        <v>0</v>
      </c>
      <c r="Z160" s="27"/>
      <c r="AA160" s="27"/>
      <c r="AB160" s="160">
        <f t="shared" si="25"/>
        <v>106.51037779600001</v>
      </c>
      <c r="AC160" s="216">
        <f t="shared" si="23"/>
        <v>0.16978588418936191</v>
      </c>
    </row>
    <row r="161" spans="1:29" s="199" customFormat="1" ht="26.25" x14ac:dyDescent="0.25">
      <c r="A161" s="186">
        <v>160</v>
      </c>
      <c r="B161" s="187">
        <v>30163</v>
      </c>
      <c r="C161" s="188" t="s">
        <v>660</v>
      </c>
      <c r="D161" s="189" t="s">
        <v>754</v>
      </c>
      <c r="E161" s="190" t="s">
        <v>791</v>
      </c>
      <c r="F161" s="191">
        <f>5684293.72412109/10000</f>
        <v>568.42937241210905</v>
      </c>
      <c r="G161" s="192" t="s">
        <v>781</v>
      </c>
      <c r="H161" s="36">
        <f>375959/10000-K161-M161</f>
        <v>21.881902</v>
      </c>
      <c r="I161" s="193">
        <v>0</v>
      </c>
      <c r="J161" s="193">
        <f t="shared" si="29"/>
        <v>0</v>
      </c>
      <c r="K161" s="302">
        <f>ZoneInondable2022!G728</f>
        <v>10.389722000000001</v>
      </c>
      <c r="L161" s="193">
        <v>0</v>
      </c>
      <c r="M161" s="302">
        <f>ZoneInondable2022!G680</f>
        <v>5.3242760000000002</v>
      </c>
      <c r="N161" s="193"/>
      <c r="O161" s="193"/>
      <c r="P161" s="193"/>
      <c r="Q161" s="193">
        <f t="shared" si="24"/>
        <v>37.5959</v>
      </c>
      <c r="R161" s="194">
        <f t="shared" si="22"/>
        <v>6.6139967117573792E-2</v>
      </c>
      <c r="S161" s="324">
        <v>6.5758278635308309E-2</v>
      </c>
      <c r="T161" s="195">
        <v>21.725962997596469</v>
      </c>
      <c r="U161" s="196">
        <v>0</v>
      </c>
      <c r="V161" s="197">
        <v>0</v>
      </c>
      <c r="W161" s="197">
        <v>10.3468064399614</v>
      </c>
      <c r="X161" s="197">
        <v>0</v>
      </c>
      <c r="Y161" s="197">
        <v>5.3061676180110302</v>
      </c>
      <c r="Z161" s="197"/>
      <c r="AA161" s="197"/>
      <c r="AB161" s="198">
        <f t="shared" si="25"/>
        <v>37.378937055568898</v>
      </c>
      <c r="AC161" s="216">
        <f t="shared" si="23"/>
        <v>6.5758278635308309E-2</v>
      </c>
    </row>
    <row r="162" spans="1:29" s="81" customFormat="1" ht="26.25" x14ac:dyDescent="0.25">
      <c r="A162" s="70">
        <v>161</v>
      </c>
      <c r="B162" s="71">
        <v>30164</v>
      </c>
      <c r="C162" s="72" t="s">
        <v>214</v>
      </c>
      <c r="D162" s="84" t="s">
        <v>765</v>
      </c>
      <c r="E162" s="69"/>
      <c r="F162" s="74">
        <f>38373974.4868164/10000</f>
        <v>3837.3974486816401</v>
      </c>
      <c r="G162" s="75" t="s">
        <v>11</v>
      </c>
      <c r="H162" s="76">
        <v>0</v>
      </c>
      <c r="I162" s="76">
        <v>0</v>
      </c>
      <c r="J162" s="76">
        <f t="shared" si="29"/>
        <v>0</v>
      </c>
      <c r="K162" s="302">
        <f>ZoneInondable2022!G816</f>
        <v>50.403556999999999</v>
      </c>
      <c r="L162" s="302">
        <f>ZoneInondable2022!G785</f>
        <v>1.8570004</v>
      </c>
      <c r="M162" s="302">
        <f>ZoneInondable2022!G112</f>
        <v>3.3111687000000001</v>
      </c>
      <c r="N162" s="76"/>
      <c r="O162" s="76"/>
      <c r="P162" s="76"/>
      <c r="Q162" s="76">
        <f t="shared" si="24"/>
        <v>55.571726099999999</v>
      </c>
      <c r="R162" s="77">
        <f t="shared" si="22"/>
        <v>1.4481618556110727E-2</v>
      </c>
      <c r="S162" s="324">
        <v>1.2207915385067006E-2</v>
      </c>
      <c r="T162" s="78">
        <v>0</v>
      </c>
      <c r="U162" s="79">
        <v>0</v>
      </c>
      <c r="V162" s="80">
        <v>0</v>
      </c>
      <c r="W162" s="80">
        <v>41.8973973724</v>
      </c>
      <c r="X162" s="80">
        <v>1.6368450886274701</v>
      </c>
      <c r="Y162" s="80">
        <v>3.3123808913499997</v>
      </c>
      <c r="Z162" s="80"/>
      <c r="AA162" s="80"/>
      <c r="AB162" s="164">
        <f t="shared" si="25"/>
        <v>46.84662335237747</v>
      </c>
      <c r="AC162" s="216">
        <f t="shared" si="23"/>
        <v>1.2207915385067006E-2</v>
      </c>
    </row>
    <row r="163" spans="1:29" s="81" customFormat="1" ht="26.25" x14ac:dyDescent="0.25">
      <c r="A163" s="70">
        <v>162</v>
      </c>
      <c r="B163" s="71">
        <v>30165</v>
      </c>
      <c r="C163" s="72" t="s">
        <v>425</v>
      </c>
      <c r="D163" s="84" t="s">
        <v>754</v>
      </c>
      <c r="E163" s="69"/>
      <c r="F163" s="74">
        <f>6604934.88134765/10000</f>
        <v>660.49348813476502</v>
      </c>
      <c r="G163" s="75" t="s">
        <v>11</v>
      </c>
      <c r="H163" s="76">
        <v>0</v>
      </c>
      <c r="I163" s="76">
        <v>0</v>
      </c>
      <c r="J163" s="76">
        <f t="shared" si="29"/>
        <v>0</v>
      </c>
      <c r="K163" s="36">
        <f>ZoneInondable2022!G285-X163</f>
        <v>30.780187694638798</v>
      </c>
      <c r="L163" s="36">
        <f>ZoneInondable2022!G864+X163</f>
        <v>11.957679505361199</v>
      </c>
      <c r="M163" s="302">
        <f>ZoneInondable2022!G274</f>
        <v>17.516178</v>
      </c>
      <c r="N163" s="76"/>
      <c r="O163" s="76"/>
      <c r="P163" s="76"/>
      <c r="Q163" s="76">
        <f t="shared" si="24"/>
        <v>60.254045199999993</v>
      </c>
      <c r="R163" s="77">
        <f t="shared" si="22"/>
        <v>9.1225797502042821E-2</v>
      </c>
      <c r="S163" s="324">
        <v>8.9034782163954551E-2</v>
      </c>
      <c r="T163" s="78">
        <v>0</v>
      </c>
      <c r="U163" s="79">
        <v>0</v>
      </c>
      <c r="V163" s="80">
        <v>0</v>
      </c>
      <c r="W163" s="80">
        <v>27.275115742300002</v>
      </c>
      <c r="X163" s="80">
        <v>10.938360305361199</v>
      </c>
      <c r="Y163" s="80">
        <v>20.5934177891281</v>
      </c>
      <c r="Z163" s="80"/>
      <c r="AA163" s="80"/>
      <c r="AB163" s="164">
        <f t="shared" si="25"/>
        <v>58.8068938367893</v>
      </c>
      <c r="AC163" s="216">
        <f t="shared" si="23"/>
        <v>8.9034782163954551E-2</v>
      </c>
    </row>
    <row r="164" spans="1:29" s="81" customFormat="1" ht="18.75" customHeight="1" x14ac:dyDescent="0.25">
      <c r="A164" s="70">
        <v>163</v>
      </c>
      <c r="B164" s="71">
        <v>30166</v>
      </c>
      <c r="C164" s="72" t="s">
        <v>394</v>
      </c>
      <c r="D164" s="84" t="s">
        <v>754</v>
      </c>
      <c r="E164" s="69" t="s">
        <v>779</v>
      </c>
      <c r="F164" s="74">
        <f>16633270.6513671/10000</f>
        <v>1663.32706513671</v>
      </c>
      <c r="G164" s="75" t="s">
        <v>11</v>
      </c>
      <c r="H164" s="76">
        <v>0</v>
      </c>
      <c r="I164" s="76">
        <v>0</v>
      </c>
      <c r="J164" s="76">
        <f t="shared" si="29"/>
        <v>0</v>
      </c>
      <c r="K164" s="302">
        <f>ZoneInondable2022!G249</f>
        <v>129.00606999999999</v>
      </c>
      <c r="L164" s="302">
        <f>ZoneInondable2022!G500</f>
        <v>211.74144000000001</v>
      </c>
      <c r="M164" s="302">
        <f>ZoneInondable2022!G753</f>
        <v>24.217421999999999</v>
      </c>
      <c r="N164" s="76"/>
      <c r="O164" s="76"/>
      <c r="P164" s="76"/>
      <c r="Q164" s="76">
        <f t="shared" si="24"/>
        <v>364.96493200000003</v>
      </c>
      <c r="R164" s="77">
        <f t="shared" si="22"/>
        <v>0.21941862165875556</v>
      </c>
      <c r="S164" s="324">
        <v>0.21898532984555419</v>
      </c>
      <c r="T164" s="78">
        <v>0</v>
      </c>
      <c r="U164" s="79">
        <v>0</v>
      </c>
      <c r="V164" s="80">
        <v>0</v>
      </c>
      <c r="W164" s="80">
        <v>127.81791249999998</v>
      </c>
      <c r="X164" s="80">
        <v>211.87538259999999</v>
      </c>
      <c r="Y164" s="80">
        <v>24.550930900000001</v>
      </c>
      <c r="Z164" s="80"/>
      <c r="AA164" s="80"/>
      <c r="AB164" s="164">
        <f t="shared" si="25"/>
        <v>364.24422600000003</v>
      </c>
      <c r="AC164" s="216">
        <f t="shared" si="23"/>
        <v>0.21898532984555419</v>
      </c>
    </row>
    <row r="165" spans="1:29" s="81" customFormat="1" x14ac:dyDescent="0.25">
      <c r="A165" s="70">
        <v>164</v>
      </c>
      <c r="B165" s="71">
        <v>30167</v>
      </c>
      <c r="C165" s="72" t="s">
        <v>590</v>
      </c>
      <c r="D165" s="84" t="s">
        <v>765</v>
      </c>
      <c r="E165" s="69"/>
      <c r="F165" s="74">
        <f>6656564.5859375/10000</f>
        <v>665.65645859375002</v>
      </c>
      <c r="G165" s="75" t="s">
        <v>11</v>
      </c>
      <c r="H165" s="76">
        <v>0</v>
      </c>
      <c r="I165" s="76">
        <v>0</v>
      </c>
      <c r="J165" s="76">
        <f t="shared" si="29"/>
        <v>0</v>
      </c>
      <c r="K165" s="302">
        <f>ZoneInondable2022!G567</f>
        <v>94.647869999999998</v>
      </c>
      <c r="L165" s="302">
        <f>ZoneInondable2022!G811</f>
        <v>4.6625686000000002</v>
      </c>
      <c r="M165" s="302">
        <f>ZoneInondable2022!G682</f>
        <v>9.5270989999999998</v>
      </c>
      <c r="N165" s="76"/>
      <c r="O165" s="76"/>
      <c r="P165" s="76"/>
      <c r="Q165" s="76">
        <f t="shared" si="24"/>
        <v>108.83753759999999</v>
      </c>
      <c r="R165" s="77">
        <f t="shared" si="22"/>
        <v>0.16350406609128015</v>
      </c>
      <c r="S165" s="324">
        <v>0.16890401362418034</v>
      </c>
      <c r="T165" s="78">
        <v>0</v>
      </c>
      <c r="U165" s="79">
        <v>0</v>
      </c>
      <c r="V165" s="80">
        <v>0</v>
      </c>
      <c r="W165" s="80">
        <v>95.020239940914109</v>
      </c>
      <c r="X165" s="80">
        <v>5.2575011938282703</v>
      </c>
      <c r="Y165" s="80">
        <v>12.154306416599999</v>
      </c>
      <c r="Z165" s="80"/>
      <c r="AA165" s="80"/>
      <c r="AB165" s="164">
        <f t="shared" si="25"/>
        <v>112.43204755134238</v>
      </c>
      <c r="AC165" s="216">
        <f t="shared" si="23"/>
        <v>0.16890401362418034</v>
      </c>
    </row>
    <row r="166" spans="1:29" s="28" customFormat="1" x14ac:dyDescent="0.25">
      <c r="A166" s="17">
        <v>165</v>
      </c>
      <c r="B166" s="18">
        <v>30168</v>
      </c>
      <c r="C166" s="19" t="s">
        <v>475</v>
      </c>
      <c r="D166" s="20" t="s">
        <v>754</v>
      </c>
      <c r="E166" s="21"/>
      <c r="F166" s="22">
        <f>30889384.4165039/10000</f>
        <v>3088.9384416503899</v>
      </c>
      <c r="G166" s="23" t="s">
        <v>761</v>
      </c>
      <c r="H166" s="302">
        <f>ZoneInondable2022!G331</f>
        <v>131.73103</v>
      </c>
      <c r="I166" s="24">
        <v>0</v>
      </c>
      <c r="J166" s="24">
        <f t="shared" si="29"/>
        <v>0</v>
      </c>
      <c r="K166" s="24">
        <v>0</v>
      </c>
      <c r="L166" s="24">
        <v>0</v>
      </c>
      <c r="M166" s="24">
        <v>0</v>
      </c>
      <c r="N166" s="24"/>
      <c r="O166" s="24"/>
      <c r="P166" s="24"/>
      <c r="Q166" s="24">
        <f t="shared" si="24"/>
        <v>131.73103</v>
      </c>
      <c r="R166" s="85">
        <f t="shared" si="22"/>
        <v>4.2646052191838889E-2</v>
      </c>
      <c r="S166" s="324">
        <v>4.2322043542296073E-2</v>
      </c>
      <c r="T166" s="25">
        <v>130.73018722699999</v>
      </c>
      <c r="U166" s="26">
        <v>0</v>
      </c>
      <c r="V166" s="27">
        <v>0</v>
      </c>
      <c r="W166" s="27">
        <v>0</v>
      </c>
      <c r="X166" s="27">
        <v>0</v>
      </c>
      <c r="Y166" s="27">
        <v>0</v>
      </c>
      <c r="Z166" s="27"/>
      <c r="AA166" s="27"/>
      <c r="AB166" s="160">
        <f t="shared" si="25"/>
        <v>130.73018722699999</v>
      </c>
      <c r="AC166" s="216">
        <f t="shared" si="23"/>
        <v>4.2322043542296073E-2</v>
      </c>
    </row>
    <row r="167" spans="1:29" s="81" customFormat="1" x14ac:dyDescent="0.25">
      <c r="A167" s="70">
        <v>166</v>
      </c>
      <c r="B167" s="71">
        <v>30169</v>
      </c>
      <c r="C167" s="72" t="s">
        <v>88</v>
      </c>
      <c r="D167" s="84" t="s">
        <v>758</v>
      </c>
      <c r="E167" s="69"/>
      <c r="F167" s="74">
        <f>18486318.4023437/10000</f>
        <v>1848.6318402343702</v>
      </c>
      <c r="G167" s="75" t="s">
        <v>11</v>
      </c>
      <c r="H167" s="76">
        <v>0</v>
      </c>
      <c r="I167" s="76">
        <v>0</v>
      </c>
      <c r="J167" s="302">
        <f>ZoneInondable2022!G102</f>
        <v>1.3292238999999999</v>
      </c>
      <c r="K167" s="302">
        <f>ZoneInondable2022!G36</f>
        <v>356.45267000000001</v>
      </c>
      <c r="L167" s="302">
        <f>ZoneInondable2022!G75</f>
        <v>339.88443000000001</v>
      </c>
      <c r="M167" s="302">
        <f>ZoneInondable2022!G520</f>
        <v>136.96090000000001</v>
      </c>
      <c r="N167" s="76"/>
      <c r="O167" s="76"/>
      <c r="P167" s="76"/>
      <c r="Q167" s="76">
        <f t="shared" si="24"/>
        <v>834.62722389999999</v>
      </c>
      <c r="R167" s="77">
        <f t="shared" si="22"/>
        <v>0.45148374367185284</v>
      </c>
      <c r="S167" s="324">
        <v>0.44858005118790623</v>
      </c>
      <c r="T167" s="78">
        <v>0</v>
      </c>
      <c r="U167" s="79">
        <v>0</v>
      </c>
      <c r="V167" s="80">
        <v>0</v>
      </c>
      <c r="W167" s="80">
        <v>362.07666681335098</v>
      </c>
      <c r="X167" s="80">
        <v>335.11628669957599</v>
      </c>
      <c r="Y167" s="80">
        <v>132.066412007</v>
      </c>
      <c r="Z167" s="80"/>
      <c r="AA167" s="80"/>
      <c r="AB167" s="164">
        <f t="shared" si="25"/>
        <v>829.25936551992709</v>
      </c>
      <c r="AC167" s="216">
        <f t="shared" si="23"/>
        <v>0.44858005118790623</v>
      </c>
    </row>
    <row r="168" spans="1:29" s="28" customFormat="1" ht="26.25" x14ac:dyDescent="0.25">
      <c r="A168" s="17">
        <v>167</v>
      </c>
      <c r="B168" s="18">
        <v>30170</v>
      </c>
      <c r="C168" s="19" t="s">
        <v>798</v>
      </c>
      <c r="D168" s="20" t="s">
        <v>766</v>
      </c>
      <c r="E168" s="21"/>
      <c r="F168" s="22">
        <f>7697289.70605468/10000</f>
        <v>769.72897060546802</v>
      </c>
      <c r="G168" s="23" t="s">
        <v>761</v>
      </c>
      <c r="H168" s="302">
        <f>ZoneInondable2022!G824</f>
        <v>75.897750000000002</v>
      </c>
      <c r="I168" s="24">
        <v>0</v>
      </c>
      <c r="J168" s="24">
        <f>V168/10000</f>
        <v>0</v>
      </c>
      <c r="K168" s="24">
        <v>0</v>
      </c>
      <c r="L168" s="24">
        <v>0</v>
      </c>
      <c r="M168" s="24">
        <v>0</v>
      </c>
      <c r="N168" s="24"/>
      <c r="O168" s="24"/>
      <c r="P168" s="24"/>
      <c r="Q168" s="24">
        <f t="shared" si="24"/>
        <v>75.897750000000002</v>
      </c>
      <c r="R168" s="85">
        <f t="shared" si="22"/>
        <v>9.8603213466551626E-2</v>
      </c>
      <c r="S168" s="324">
        <v>9.8423761797880038E-2</v>
      </c>
      <c r="T168" s="25">
        <v>75.759620851799994</v>
      </c>
      <c r="U168" s="26">
        <v>0</v>
      </c>
      <c r="V168" s="27">
        <v>0</v>
      </c>
      <c r="W168" s="27">
        <v>0</v>
      </c>
      <c r="X168" s="27">
        <v>0</v>
      </c>
      <c r="Y168" s="27">
        <v>0</v>
      </c>
      <c r="Z168" s="27"/>
      <c r="AA168" s="27"/>
      <c r="AB168" s="160">
        <f t="shared" si="25"/>
        <v>75.759620851799994</v>
      </c>
      <c r="AC168" s="216">
        <f t="shared" si="23"/>
        <v>9.8423761797880038E-2</v>
      </c>
    </row>
    <row r="169" spans="1:29" s="81" customFormat="1" ht="26.25" x14ac:dyDescent="0.25">
      <c r="A169" s="70">
        <v>168</v>
      </c>
      <c r="B169" s="71">
        <v>30171</v>
      </c>
      <c r="C169" s="72" t="s">
        <v>532</v>
      </c>
      <c r="D169" s="84" t="s">
        <v>765</v>
      </c>
      <c r="E169" s="69"/>
      <c r="F169" s="74">
        <f>8612488.28564453/10000</f>
        <v>861.24882856445299</v>
      </c>
      <c r="G169" s="75" t="s">
        <v>11</v>
      </c>
      <c r="H169" s="76">
        <v>0</v>
      </c>
      <c r="I169" s="76">
        <v>0</v>
      </c>
      <c r="J169" s="76">
        <f>V169/10000</f>
        <v>0</v>
      </c>
      <c r="K169" s="302">
        <f>ZoneInondable2022!G419</f>
        <v>96.426024999999996</v>
      </c>
      <c r="L169" s="302">
        <f>ZoneInondable2022!G711</f>
        <v>7.4677524999999996</v>
      </c>
      <c r="M169" s="302">
        <f>ZoneInondable2022!G790</f>
        <v>22.128208000000001</v>
      </c>
      <c r="N169" s="76"/>
      <c r="O169" s="76"/>
      <c r="P169" s="76"/>
      <c r="Q169" s="76">
        <f t="shared" si="24"/>
        <v>126.0219855</v>
      </c>
      <c r="R169" s="77">
        <f t="shared" si="22"/>
        <v>0.14632471049052803</v>
      </c>
      <c r="S169" s="324">
        <v>0.14527809452419529</v>
      </c>
      <c r="T169" s="78">
        <v>0</v>
      </c>
      <c r="U169" s="79">
        <v>0</v>
      </c>
      <c r="V169" s="80">
        <v>0</v>
      </c>
      <c r="W169" s="80">
        <v>98.603072583417699</v>
      </c>
      <c r="X169" s="80">
        <v>7.0845426184213709</v>
      </c>
      <c r="Y169" s="80">
        <v>19.432973523200001</v>
      </c>
      <c r="Z169" s="80"/>
      <c r="AA169" s="80"/>
      <c r="AB169" s="164">
        <f t="shared" si="25"/>
        <v>125.12058872503907</v>
      </c>
      <c r="AC169" s="216">
        <f t="shared" si="23"/>
        <v>0.14527809452419529</v>
      </c>
    </row>
    <row r="170" spans="1:29" s="28" customFormat="1" x14ac:dyDescent="0.25">
      <c r="A170" s="17">
        <v>169</v>
      </c>
      <c r="B170" s="18">
        <v>30172</v>
      </c>
      <c r="C170" s="19" t="s">
        <v>210</v>
      </c>
      <c r="D170" s="20" t="s">
        <v>755</v>
      </c>
      <c r="E170" s="21"/>
      <c r="F170" s="22">
        <f>21434917.1352539/10000</f>
        <v>2143.49171352539</v>
      </c>
      <c r="G170" s="23" t="s">
        <v>761</v>
      </c>
      <c r="H170" s="302">
        <f>ZoneInondable2022!G110</f>
        <v>91.757720000000006</v>
      </c>
      <c r="I170" s="24">
        <v>0</v>
      </c>
      <c r="J170" s="24">
        <f>V170/10000</f>
        <v>0</v>
      </c>
      <c r="K170" s="24">
        <v>0</v>
      </c>
      <c r="L170" s="24">
        <v>0</v>
      </c>
      <c r="M170" s="24">
        <v>0</v>
      </c>
      <c r="N170" s="24"/>
      <c r="O170" s="24"/>
      <c r="P170" s="24"/>
      <c r="Q170" s="24">
        <f t="shared" si="24"/>
        <v>91.757720000000006</v>
      </c>
      <c r="R170" s="85">
        <f t="shared" si="22"/>
        <v>4.280759259343557E-2</v>
      </c>
      <c r="S170" s="324">
        <v>4.5162856824803546E-2</v>
      </c>
      <c r="T170" s="25">
        <v>96.80620936310001</v>
      </c>
      <c r="U170" s="26">
        <v>0</v>
      </c>
      <c r="V170" s="27">
        <v>0</v>
      </c>
      <c r="W170" s="27">
        <v>0</v>
      </c>
      <c r="X170" s="27">
        <v>0</v>
      </c>
      <c r="Y170" s="27">
        <v>0</v>
      </c>
      <c r="Z170" s="27"/>
      <c r="AA170" s="27"/>
      <c r="AB170" s="160">
        <f t="shared" si="25"/>
        <v>96.80620936310001</v>
      </c>
      <c r="AC170" s="216">
        <f t="shared" si="23"/>
        <v>4.5162856824803546E-2</v>
      </c>
    </row>
    <row r="171" spans="1:29" s="81" customFormat="1" ht="18.75" customHeight="1" x14ac:dyDescent="0.25">
      <c r="A171" s="70">
        <v>170</v>
      </c>
      <c r="B171" s="71">
        <v>30173</v>
      </c>
      <c r="C171" s="72" t="s">
        <v>180</v>
      </c>
      <c r="D171" s="84" t="s">
        <v>754</v>
      </c>
      <c r="E171" s="69" t="s">
        <v>783</v>
      </c>
      <c r="F171" s="74">
        <f>15970101.4711914/10000</f>
        <v>1597.0101471191401</v>
      </c>
      <c r="G171" s="75" t="s">
        <v>11</v>
      </c>
      <c r="H171" s="76">
        <v>0</v>
      </c>
      <c r="I171" s="76">
        <v>0</v>
      </c>
      <c r="J171" s="76">
        <f>V171/10000</f>
        <v>0</v>
      </c>
      <c r="K171" s="36">
        <f>ZoneInondable2022!G623-X171</f>
        <v>26.920739504495096</v>
      </c>
      <c r="L171" s="36">
        <f>ZoneInondable2022!G89+X171</f>
        <v>59.682828095504895</v>
      </c>
      <c r="M171" s="302">
        <f>ZoneInondable2022!G272</f>
        <v>6.752472</v>
      </c>
      <c r="N171" s="76"/>
      <c r="O171" s="76"/>
      <c r="P171" s="76"/>
      <c r="Q171" s="76">
        <f t="shared" si="24"/>
        <v>93.356039599999988</v>
      </c>
      <c r="R171" s="77">
        <f t="shared" si="22"/>
        <v>5.8456760446015776E-2</v>
      </c>
      <c r="S171" s="324">
        <v>5.8895883643702136E-2</v>
      </c>
      <c r="T171" s="78">
        <v>0</v>
      </c>
      <c r="U171" s="79">
        <v>0</v>
      </c>
      <c r="V171" s="80">
        <v>0</v>
      </c>
      <c r="W171" s="80">
        <v>24.565724927952601</v>
      </c>
      <c r="X171" s="80">
        <v>58.646986495504898</v>
      </c>
      <c r="Y171" s="80">
        <v>10.844612379082999</v>
      </c>
      <c r="Z171" s="80"/>
      <c r="AA171" s="80"/>
      <c r="AB171" s="164">
        <f t="shared" si="25"/>
        <v>94.057323802540509</v>
      </c>
      <c r="AC171" s="216">
        <f t="shared" si="23"/>
        <v>5.8895883643702136E-2</v>
      </c>
    </row>
    <row r="172" spans="1:29" s="199" customFormat="1" x14ac:dyDescent="0.25">
      <c r="A172" s="186">
        <v>171</v>
      </c>
      <c r="B172" s="187">
        <v>30354</v>
      </c>
      <c r="C172" s="188" t="s">
        <v>799</v>
      </c>
      <c r="D172" s="189" t="s">
        <v>755</v>
      </c>
      <c r="E172" s="190" t="s">
        <v>791</v>
      </c>
      <c r="F172" s="191">
        <f>8697311.94433593/10000</f>
        <v>869.73119443359303</v>
      </c>
      <c r="G172" s="192" t="s">
        <v>761</v>
      </c>
      <c r="H172" s="36">
        <f>189955/10000</f>
        <v>18.9955</v>
      </c>
      <c r="I172" s="193">
        <v>0</v>
      </c>
      <c r="J172" s="193">
        <f>V172/10000</f>
        <v>0</v>
      </c>
      <c r="K172" s="193">
        <v>0</v>
      </c>
      <c r="L172" s="193">
        <v>0</v>
      </c>
      <c r="M172" s="193">
        <v>0</v>
      </c>
      <c r="N172" s="193"/>
      <c r="O172" s="193"/>
      <c r="P172" s="193"/>
      <c r="Q172" s="193">
        <f t="shared" si="24"/>
        <v>18.9955</v>
      </c>
      <c r="R172" s="194">
        <f t="shared" si="22"/>
        <v>2.184065619535551E-2</v>
      </c>
      <c r="S172" s="324">
        <v>2.1842132851612198E-2</v>
      </c>
      <c r="T172" s="195">
        <v>18.867332565402901</v>
      </c>
      <c r="U172" s="196">
        <v>0</v>
      </c>
      <c r="V172" s="197">
        <v>0</v>
      </c>
      <c r="W172" s="197">
        <v>0</v>
      </c>
      <c r="X172" s="197">
        <v>0.12945172860699999</v>
      </c>
      <c r="Y172" s="197">
        <v>0</v>
      </c>
      <c r="Z172" s="197"/>
      <c r="AA172" s="197"/>
      <c r="AB172" s="198">
        <f t="shared" si="25"/>
        <v>18.996784294009899</v>
      </c>
      <c r="AC172" s="216">
        <f t="shared" si="23"/>
        <v>2.1842132851612198E-2</v>
      </c>
    </row>
    <row r="173" spans="1:29" s="102" customFormat="1" ht="33" customHeight="1" x14ac:dyDescent="0.25">
      <c r="A173" s="91">
        <v>172</v>
      </c>
      <c r="B173" s="92">
        <v>30174</v>
      </c>
      <c r="C173" s="93" t="s">
        <v>352</v>
      </c>
      <c r="D173" s="94" t="s">
        <v>754</v>
      </c>
      <c r="E173" s="95"/>
      <c r="F173" s="96">
        <f>19341852.0385742/10000</f>
        <v>1934.18520385742</v>
      </c>
      <c r="G173" s="167" t="s">
        <v>837</v>
      </c>
      <c r="H173" s="98">
        <v>0</v>
      </c>
      <c r="I173" s="98">
        <v>0</v>
      </c>
      <c r="J173" s="302">
        <f>ZoneInondable2022!G290</f>
        <v>53.072642999999999</v>
      </c>
      <c r="K173" s="302">
        <f>ZoneInondable2022!G495</f>
        <v>96.531580000000005</v>
      </c>
      <c r="L173" s="302">
        <f>ZoneInondable2022!G213</f>
        <v>275.89505000000003</v>
      </c>
      <c r="M173" s="302">
        <f>ZoneInondable2022!G569</f>
        <v>117.56056</v>
      </c>
      <c r="N173" s="98"/>
      <c r="O173" s="98"/>
      <c r="P173" s="98"/>
      <c r="Q173" s="98">
        <f t="shared" si="24"/>
        <v>543.05983300000003</v>
      </c>
      <c r="R173" s="90">
        <f t="shared" si="22"/>
        <v>0.28076930374451986</v>
      </c>
      <c r="S173" s="324">
        <v>6.8510012789224181E-2</v>
      </c>
      <c r="T173" s="99">
        <v>132.51105305300001</v>
      </c>
      <c r="U173" s="100">
        <v>0</v>
      </c>
      <c r="V173" s="101">
        <v>0</v>
      </c>
      <c r="W173" s="101">
        <v>0</v>
      </c>
      <c r="X173" s="101">
        <v>0</v>
      </c>
      <c r="Y173" s="101">
        <v>0</v>
      </c>
      <c r="Z173" s="101"/>
      <c r="AA173" s="101"/>
      <c r="AB173" s="161">
        <f t="shared" si="25"/>
        <v>132.51105305300001</v>
      </c>
      <c r="AC173" s="216">
        <f t="shared" si="23"/>
        <v>6.8510012789224181E-2</v>
      </c>
    </row>
    <row r="174" spans="1:29" s="81" customFormat="1" x14ac:dyDescent="0.25">
      <c r="A174" s="70">
        <v>173</v>
      </c>
      <c r="B174" s="71">
        <v>30175</v>
      </c>
      <c r="C174" s="72" t="s">
        <v>481</v>
      </c>
      <c r="D174" s="84" t="s">
        <v>765</v>
      </c>
      <c r="E174" s="69"/>
      <c r="F174" s="74">
        <f>21980743.2216796/10000</f>
        <v>2198.07432216796</v>
      </c>
      <c r="G174" s="75" t="s">
        <v>11</v>
      </c>
      <c r="H174" s="76">
        <v>0</v>
      </c>
      <c r="I174" s="76">
        <v>0</v>
      </c>
      <c r="J174" s="76">
        <f t="shared" ref="J174:J184" si="30">V174/10000</f>
        <v>0</v>
      </c>
      <c r="K174" s="302">
        <f>ZoneInondable2022!G437</f>
        <v>205.5052</v>
      </c>
      <c r="L174" s="302">
        <f>ZoneInondable2022!G654</f>
        <v>7.2971263000000004</v>
      </c>
      <c r="M174" s="302">
        <f>ZoneInondable2022!G336</f>
        <v>24.563832999999999</v>
      </c>
      <c r="N174" s="76"/>
      <c r="O174" s="76"/>
      <c r="P174" s="76"/>
      <c r="Q174" s="76">
        <f t="shared" si="24"/>
        <v>237.36615929999999</v>
      </c>
      <c r="R174" s="77">
        <f t="shared" si="22"/>
        <v>0.10798823174727132</v>
      </c>
      <c r="S174" s="324">
        <v>0.10677609606610584</v>
      </c>
      <c r="T174" s="78">
        <v>0</v>
      </c>
      <c r="U174" s="79">
        <v>0</v>
      </c>
      <c r="V174" s="80">
        <v>0</v>
      </c>
      <c r="W174" s="80">
        <v>202.84079447822899</v>
      </c>
      <c r="X174" s="80">
        <v>7.3003285004176099</v>
      </c>
      <c r="Y174" s="80">
        <v>24.560672005600001</v>
      </c>
      <c r="Z174" s="80"/>
      <c r="AA174" s="80"/>
      <c r="AB174" s="164">
        <f t="shared" si="25"/>
        <v>234.70179498424659</v>
      </c>
      <c r="AC174" s="216">
        <f t="shared" si="23"/>
        <v>0.10677609606610584</v>
      </c>
    </row>
    <row r="175" spans="1:29" s="28" customFormat="1" x14ac:dyDescent="0.25">
      <c r="A175" s="17">
        <v>174</v>
      </c>
      <c r="B175" s="18">
        <v>30176</v>
      </c>
      <c r="C175" s="19" t="s">
        <v>634</v>
      </c>
      <c r="D175" s="20" t="s">
        <v>766</v>
      </c>
      <c r="E175" s="21"/>
      <c r="F175" s="22">
        <f>35485091.8266601/10000</f>
        <v>3548.5091826660096</v>
      </c>
      <c r="G175" s="23" t="s">
        <v>761</v>
      </c>
      <c r="H175" s="302">
        <f>ZoneInondable2022!G644</f>
        <v>23.133420000000001</v>
      </c>
      <c r="I175" s="24">
        <v>0</v>
      </c>
      <c r="J175" s="24">
        <f t="shared" si="30"/>
        <v>0</v>
      </c>
      <c r="K175" s="24">
        <v>0</v>
      </c>
      <c r="L175" s="24">
        <v>0</v>
      </c>
      <c r="M175" s="24">
        <v>0</v>
      </c>
      <c r="N175" s="24"/>
      <c r="O175" s="24"/>
      <c r="P175" s="24"/>
      <c r="Q175" s="24">
        <f t="shared" si="24"/>
        <v>23.133420000000001</v>
      </c>
      <c r="R175" s="85">
        <f t="shared" si="22"/>
        <v>6.5191940640885607E-3</v>
      </c>
      <c r="S175" s="324">
        <v>6.7965966311746189E-3</v>
      </c>
      <c r="T175" s="25">
        <v>24.117785556600001</v>
      </c>
      <c r="U175" s="26">
        <v>0</v>
      </c>
      <c r="V175" s="27">
        <v>0</v>
      </c>
      <c r="W175" s="27">
        <v>0</v>
      </c>
      <c r="X175" s="27">
        <v>0</v>
      </c>
      <c r="Y175" s="27">
        <v>0</v>
      </c>
      <c r="Z175" s="27"/>
      <c r="AA175" s="27"/>
      <c r="AB175" s="160">
        <f t="shared" si="25"/>
        <v>24.117785556600001</v>
      </c>
      <c r="AC175" s="216">
        <f t="shared" si="23"/>
        <v>6.7965966311746189E-3</v>
      </c>
    </row>
    <row r="176" spans="1:29" s="81" customFormat="1" x14ac:dyDescent="0.25">
      <c r="A176" s="70">
        <v>175</v>
      </c>
      <c r="B176" s="71">
        <v>30177</v>
      </c>
      <c r="C176" s="72" t="s">
        <v>386</v>
      </c>
      <c r="D176" s="84" t="s">
        <v>754</v>
      </c>
      <c r="E176" s="69"/>
      <c r="F176" s="74">
        <f>7071132.60498046/10000</f>
        <v>707.11326049804609</v>
      </c>
      <c r="G176" s="75" t="s">
        <v>11</v>
      </c>
      <c r="H176" s="76">
        <v>0</v>
      </c>
      <c r="I176" s="76">
        <v>0</v>
      </c>
      <c r="J176" s="76">
        <f t="shared" si="30"/>
        <v>0</v>
      </c>
      <c r="K176" s="36">
        <f>ZoneInondable2022!G573-X176</f>
        <v>15.556007272945701</v>
      </c>
      <c r="L176" s="36">
        <f>0+X176</f>
        <v>14.990661727054301</v>
      </c>
      <c r="M176" s="302">
        <f>ZoneInondable2022!G243</f>
        <v>24.59432</v>
      </c>
      <c r="N176" s="76"/>
      <c r="O176" s="76"/>
      <c r="P176" s="76"/>
      <c r="Q176" s="76">
        <f t="shared" si="24"/>
        <v>55.140989000000005</v>
      </c>
      <c r="R176" s="77">
        <f t="shared" si="22"/>
        <v>7.7980419941724985E-2</v>
      </c>
      <c r="S176" s="324">
        <v>7.6196227625847476E-2</v>
      </c>
      <c r="T176" s="78">
        <v>0</v>
      </c>
      <c r="U176" s="79">
        <v>0</v>
      </c>
      <c r="V176" s="80">
        <v>0</v>
      </c>
      <c r="W176" s="80">
        <v>4.3618046549100002</v>
      </c>
      <c r="X176" s="80">
        <v>14.990661727054301</v>
      </c>
      <c r="Y176" s="80">
        <v>34.526896572200002</v>
      </c>
      <c r="Z176" s="80"/>
      <c r="AA176" s="80"/>
      <c r="AB176" s="164">
        <f t="shared" si="25"/>
        <v>53.879362954164307</v>
      </c>
      <c r="AC176" s="216">
        <f t="shared" si="23"/>
        <v>7.6196227625847476E-2</v>
      </c>
    </row>
    <row r="177" spans="1:29" s="81" customFormat="1" ht="22.5" customHeight="1" x14ac:dyDescent="0.25">
      <c r="A177" s="70">
        <v>176</v>
      </c>
      <c r="B177" s="71">
        <v>30178</v>
      </c>
      <c r="C177" s="72" t="s">
        <v>687</v>
      </c>
      <c r="D177" s="84" t="s">
        <v>767</v>
      </c>
      <c r="E177" s="69"/>
      <c r="F177" s="74">
        <f>4137314.09667968/10000</f>
        <v>413.73140966796802</v>
      </c>
      <c r="G177" s="75" t="s">
        <v>11</v>
      </c>
      <c r="H177" s="76">
        <v>0</v>
      </c>
      <c r="I177" s="76">
        <v>0</v>
      </c>
      <c r="J177" s="76">
        <f t="shared" si="30"/>
        <v>0</v>
      </c>
      <c r="K177" s="302">
        <f>ZoneInondable2022!G801</f>
        <v>228.70699999999999</v>
      </c>
      <c r="L177" s="302">
        <f>ZoneInondable2022!G842</f>
        <v>3.4097151999999999</v>
      </c>
      <c r="M177" s="302">
        <f>ZoneInondable2022!G739</f>
        <v>62.412210000000002</v>
      </c>
      <c r="N177" s="76"/>
      <c r="O177" s="76"/>
      <c r="P177" s="76"/>
      <c r="Q177" s="76">
        <f t="shared" si="24"/>
        <v>294.5289252</v>
      </c>
      <c r="R177" s="201">
        <f t="shared" si="22"/>
        <v>0.71188437309211883</v>
      </c>
      <c r="S177" s="324">
        <v>0.88335625060060696</v>
      </c>
      <c r="T177" s="78">
        <v>0</v>
      </c>
      <c r="U177" s="79">
        <v>0</v>
      </c>
      <c r="V177" s="80">
        <v>0</v>
      </c>
      <c r="W177" s="80">
        <v>143.0302662</v>
      </c>
      <c r="X177" s="80">
        <v>10.8744458</v>
      </c>
      <c r="Y177" s="80">
        <v>144.6031006</v>
      </c>
      <c r="Z177" s="80">
        <v>66.964414199999993</v>
      </c>
      <c r="AA177" s="80"/>
      <c r="AB177" s="164">
        <f t="shared" si="25"/>
        <v>365.47222679999993</v>
      </c>
      <c r="AC177" s="216">
        <f t="shared" si="23"/>
        <v>0.88335625060060696</v>
      </c>
    </row>
    <row r="178" spans="1:29" s="81" customFormat="1" ht="21" customHeight="1" x14ac:dyDescent="0.25">
      <c r="A178" s="70">
        <v>177</v>
      </c>
      <c r="B178" s="71">
        <v>30179</v>
      </c>
      <c r="C178" s="72" t="s">
        <v>86</v>
      </c>
      <c r="D178" s="84" t="s">
        <v>754</v>
      </c>
      <c r="E178" s="89" t="s">
        <v>768</v>
      </c>
      <c r="F178" s="74">
        <f>15359956.7939453/10000</f>
        <v>1535.99567939453</v>
      </c>
      <c r="G178" s="75" t="s">
        <v>11</v>
      </c>
      <c r="H178" s="76">
        <v>0</v>
      </c>
      <c r="I178" s="76">
        <v>0</v>
      </c>
      <c r="J178" s="76">
        <f t="shared" si="30"/>
        <v>0</v>
      </c>
      <c r="K178" s="302">
        <f>ZoneInondable2022!G492</f>
        <v>770.53375000000005</v>
      </c>
      <c r="L178" s="302">
        <f>ZoneInondable2022!G35</f>
        <v>32.515616999999999</v>
      </c>
      <c r="M178" s="302">
        <f>ZoneInondable2022!G39</f>
        <v>74.489019999999996</v>
      </c>
      <c r="N178" s="76"/>
      <c r="O178" s="76"/>
      <c r="P178" s="76"/>
      <c r="Q178" s="76">
        <f t="shared" si="24"/>
        <v>877.53838700000006</v>
      </c>
      <c r="R178" s="77">
        <f t="shared" si="22"/>
        <v>0.57131566108695986</v>
      </c>
      <c r="S178" s="324">
        <v>0.57289997003564086</v>
      </c>
      <c r="T178" s="78">
        <v>0</v>
      </c>
      <c r="U178" s="79">
        <v>0</v>
      </c>
      <c r="V178" s="80">
        <v>0</v>
      </c>
      <c r="W178" s="80">
        <v>773.34771439999997</v>
      </c>
      <c r="X178" s="80">
        <v>32.455241200000003</v>
      </c>
      <c r="Y178" s="80">
        <v>74.168923100000001</v>
      </c>
      <c r="Z178" s="80"/>
      <c r="AA178" s="80"/>
      <c r="AB178" s="164">
        <f t="shared" si="25"/>
        <v>879.97187870000005</v>
      </c>
      <c r="AC178" s="216">
        <f t="shared" si="23"/>
        <v>0.57289997003564086</v>
      </c>
    </row>
    <row r="179" spans="1:29" s="81" customFormat="1" ht="26.25" x14ac:dyDescent="0.25">
      <c r="A179" s="70">
        <v>178</v>
      </c>
      <c r="B179" s="71">
        <v>30180</v>
      </c>
      <c r="C179" s="72" t="s">
        <v>162</v>
      </c>
      <c r="D179" s="84" t="s">
        <v>754</v>
      </c>
      <c r="E179" s="69"/>
      <c r="F179" s="74">
        <f>4525507.14013671/10000</f>
        <v>452.55071401367104</v>
      </c>
      <c r="G179" s="75" t="s">
        <v>11</v>
      </c>
      <c r="H179" s="76">
        <v>0</v>
      </c>
      <c r="I179" s="76">
        <v>0</v>
      </c>
      <c r="J179" s="76">
        <f t="shared" si="30"/>
        <v>0</v>
      </c>
      <c r="K179" s="36">
        <f>ZoneInondable2022!G78-X179</f>
        <v>22.315979850308299</v>
      </c>
      <c r="L179" s="36">
        <f>0+X179</f>
        <v>16.0653331496917</v>
      </c>
      <c r="M179" s="302">
        <f>ZoneInondable2022!G655</f>
        <v>6.4936942999999996</v>
      </c>
      <c r="N179" s="76"/>
      <c r="O179" s="76"/>
      <c r="P179" s="76"/>
      <c r="Q179" s="76">
        <f t="shared" si="24"/>
        <v>44.8750073</v>
      </c>
      <c r="R179" s="77">
        <f t="shared" si="22"/>
        <v>9.9160173457696454E-2</v>
      </c>
      <c r="S179" s="324">
        <v>8.5556340945833656E-2</v>
      </c>
      <c r="T179" s="78">
        <v>0</v>
      </c>
      <c r="U179" s="79">
        <v>0</v>
      </c>
      <c r="V179" s="80">
        <v>0</v>
      </c>
      <c r="W179" s="80">
        <v>14.481987061912299</v>
      </c>
      <c r="X179" s="80">
        <v>16.0653331496917</v>
      </c>
      <c r="Y179" s="80">
        <v>8.1712629718300995</v>
      </c>
      <c r="Z179" s="80"/>
      <c r="AA179" s="80"/>
      <c r="AB179" s="164">
        <f t="shared" si="25"/>
        <v>38.718583183434099</v>
      </c>
      <c r="AC179" s="216">
        <f t="shared" si="23"/>
        <v>8.5556340945833656E-2</v>
      </c>
    </row>
    <row r="180" spans="1:29" s="81" customFormat="1" x14ac:dyDescent="0.25">
      <c r="A180" s="70">
        <v>179</v>
      </c>
      <c r="B180" s="71">
        <v>30181</v>
      </c>
      <c r="C180" s="72" t="s">
        <v>278</v>
      </c>
      <c r="D180" s="84" t="s">
        <v>755</v>
      </c>
      <c r="E180" s="69" t="s">
        <v>791</v>
      </c>
      <c r="F180" s="74">
        <f>9525816.27490234/10000</f>
        <v>952.58162749023404</v>
      </c>
      <c r="G180" s="75" t="s">
        <v>11</v>
      </c>
      <c r="H180" s="76">
        <v>0</v>
      </c>
      <c r="I180" s="76">
        <v>0</v>
      </c>
      <c r="J180" s="76">
        <f t="shared" si="30"/>
        <v>0</v>
      </c>
      <c r="K180" s="302">
        <f>ZoneInondable2022!G152</f>
        <v>28.903199999999998</v>
      </c>
      <c r="L180" s="302">
        <f>ZoneInondable2022!G743</f>
        <v>0.22720974999999999</v>
      </c>
      <c r="M180" s="302">
        <f>ZoneInondable2022!G407</f>
        <v>16.155695000000001</v>
      </c>
      <c r="N180" s="76"/>
      <c r="O180" s="76"/>
      <c r="P180" s="76"/>
      <c r="Q180" s="76">
        <f t="shared" si="24"/>
        <v>45.28610475</v>
      </c>
      <c r="R180" s="77">
        <f t="shared" si="22"/>
        <v>4.754039280530243E-2</v>
      </c>
      <c r="S180" s="324">
        <v>4.5314078055853045E-2</v>
      </c>
      <c r="T180" s="78">
        <v>0</v>
      </c>
      <c r="U180" s="79">
        <v>0</v>
      </c>
      <c r="V180" s="80">
        <v>0</v>
      </c>
      <c r="W180" s="80">
        <v>27.262741715499999</v>
      </c>
      <c r="X180" s="80">
        <v>0.22740936726399999</v>
      </c>
      <c r="Y180" s="80">
        <v>15.675207139900001</v>
      </c>
      <c r="Z180" s="80"/>
      <c r="AA180" s="80"/>
      <c r="AB180" s="164">
        <f t="shared" si="25"/>
        <v>43.165358222663997</v>
      </c>
      <c r="AC180" s="216">
        <f t="shared" si="23"/>
        <v>4.5314078055853045E-2</v>
      </c>
    </row>
    <row r="181" spans="1:29" s="33" customFormat="1" x14ac:dyDescent="0.25">
      <c r="A181" s="30">
        <v>180</v>
      </c>
      <c r="B181" s="18">
        <v>30182</v>
      </c>
      <c r="C181" s="19" t="s">
        <v>252</v>
      </c>
      <c r="D181" s="20" t="s">
        <v>755</v>
      </c>
      <c r="E181" s="21" t="s">
        <v>791</v>
      </c>
      <c r="F181" s="22">
        <f>11990648.3374023/10000</f>
        <v>1199.0648337402301</v>
      </c>
      <c r="G181" s="23" t="s">
        <v>761</v>
      </c>
      <c r="H181" s="302">
        <f>ZoneInondable2022!G132</f>
        <v>89.228713999999997</v>
      </c>
      <c r="I181" s="24">
        <v>0</v>
      </c>
      <c r="J181" s="24">
        <f t="shared" si="30"/>
        <v>0</v>
      </c>
      <c r="K181" s="24">
        <v>0</v>
      </c>
      <c r="L181" s="24">
        <v>0</v>
      </c>
      <c r="M181" s="24">
        <v>0</v>
      </c>
      <c r="N181" s="24"/>
      <c r="O181" s="24"/>
      <c r="P181" s="24"/>
      <c r="Q181" s="24">
        <f t="shared" si="24"/>
        <v>89.228713999999997</v>
      </c>
      <c r="R181" s="85">
        <f t="shared" si="22"/>
        <v>7.4415253862186767E-2</v>
      </c>
      <c r="S181" s="324">
        <v>7.6313711146851967E-2</v>
      </c>
      <c r="T181" s="31">
        <v>91.505087368399998</v>
      </c>
      <c r="U181" s="24">
        <v>0</v>
      </c>
      <c r="V181" s="32">
        <v>0</v>
      </c>
      <c r="W181" s="32">
        <v>0</v>
      </c>
      <c r="X181" s="32">
        <v>0</v>
      </c>
      <c r="Y181" s="32">
        <v>0</v>
      </c>
      <c r="Z181" s="32"/>
      <c r="AA181" s="32"/>
      <c r="AB181" s="160">
        <f t="shared" si="25"/>
        <v>91.505087368399998</v>
      </c>
      <c r="AC181" s="216">
        <f t="shared" si="23"/>
        <v>7.6313711146851967E-2</v>
      </c>
    </row>
    <row r="182" spans="1:29" s="107" customFormat="1" x14ac:dyDescent="0.25">
      <c r="A182" s="136">
        <v>181</v>
      </c>
      <c r="B182" s="168">
        <v>30183</v>
      </c>
      <c r="C182" s="72" t="s">
        <v>234</v>
      </c>
      <c r="D182" s="84" t="s">
        <v>755</v>
      </c>
      <c r="E182" s="69"/>
      <c r="F182" s="74">
        <f>11213631.390625/10000</f>
        <v>1121.3631390625001</v>
      </c>
      <c r="G182" s="75" t="s">
        <v>11</v>
      </c>
      <c r="H182" s="76">
        <v>0</v>
      </c>
      <c r="I182" s="76">
        <v>0</v>
      </c>
      <c r="J182" s="76">
        <f t="shared" si="30"/>
        <v>0</v>
      </c>
      <c r="K182" s="302">
        <f>ZoneInondable2022!G445</f>
        <v>53.977035999999998</v>
      </c>
      <c r="L182" s="302">
        <f>ZoneInondable2022!G161</f>
        <v>0.53603345000000002</v>
      </c>
      <c r="M182" s="302">
        <f>ZoneInondable2022!G121</f>
        <v>11.983174</v>
      </c>
      <c r="N182" s="76"/>
      <c r="O182" s="76"/>
      <c r="P182" s="76"/>
      <c r="Q182" s="76">
        <f t="shared" si="24"/>
        <v>66.496243449999994</v>
      </c>
      <c r="R182" s="77">
        <f t="shared" si="22"/>
        <v>5.9299473233615695E-2</v>
      </c>
      <c r="S182" s="324">
        <v>5.7419766241033239E-2</v>
      </c>
      <c r="T182" s="105">
        <v>0</v>
      </c>
      <c r="U182" s="76">
        <v>0</v>
      </c>
      <c r="V182" s="106">
        <v>0</v>
      </c>
      <c r="W182" s="106">
        <v>51.877400567999999</v>
      </c>
      <c r="X182" s="106">
        <v>0.53580122308</v>
      </c>
      <c r="Y182" s="106">
        <v>11.9752075252</v>
      </c>
      <c r="Z182" s="106"/>
      <c r="AA182" s="106"/>
      <c r="AB182" s="164">
        <f t="shared" si="25"/>
        <v>64.388409316280004</v>
      </c>
      <c r="AC182" s="216">
        <f t="shared" si="23"/>
        <v>5.7419766241033239E-2</v>
      </c>
    </row>
    <row r="183" spans="1:29" s="81" customFormat="1" x14ac:dyDescent="0.25">
      <c r="A183" s="70">
        <v>182</v>
      </c>
      <c r="B183" s="168">
        <v>30184</v>
      </c>
      <c r="C183" s="72" t="s">
        <v>358</v>
      </c>
      <c r="D183" s="84" t="s">
        <v>754</v>
      </c>
      <c r="E183" s="69"/>
      <c r="F183" s="74">
        <f>7636818.3828125/10000</f>
        <v>763.68183828124995</v>
      </c>
      <c r="G183" s="75" t="s">
        <v>11</v>
      </c>
      <c r="H183" s="76">
        <v>0</v>
      </c>
      <c r="I183" s="76">
        <v>0</v>
      </c>
      <c r="J183" s="76">
        <f t="shared" si="30"/>
        <v>0</v>
      </c>
      <c r="K183" s="36">
        <f>ZoneInondable2022!G217-X183</f>
        <v>443.91029342062029</v>
      </c>
      <c r="L183" s="36">
        <f>ZoneInondable2022!G475+X183</f>
        <v>17.151866179379702</v>
      </c>
      <c r="M183" s="302">
        <f>ZoneInondable2022!G772</f>
        <v>59.600349999999999</v>
      </c>
      <c r="N183" s="76"/>
      <c r="O183" s="76"/>
      <c r="P183" s="76"/>
      <c r="Q183" s="76">
        <f t="shared" si="24"/>
        <v>520.66250960000002</v>
      </c>
      <c r="R183" s="77">
        <f t="shared" si="22"/>
        <v>0.68177935299837467</v>
      </c>
      <c r="S183" s="324">
        <v>0.68963906245207662</v>
      </c>
      <c r="T183" s="78">
        <v>0</v>
      </c>
      <c r="U183" s="79">
        <v>0</v>
      </c>
      <c r="V183" s="80">
        <v>0</v>
      </c>
      <c r="W183" s="80">
        <v>446.20376692847998</v>
      </c>
      <c r="X183" s="80">
        <v>16.487136579379701</v>
      </c>
      <c r="Y183" s="80">
        <v>63.973923456100003</v>
      </c>
      <c r="Z183" s="80"/>
      <c r="AA183" s="80"/>
      <c r="AB183" s="164">
        <f t="shared" si="25"/>
        <v>526.66482696395963</v>
      </c>
      <c r="AC183" s="216">
        <f t="shared" si="23"/>
        <v>0.68963906245207662</v>
      </c>
    </row>
    <row r="184" spans="1:29" s="81" customFormat="1" x14ac:dyDescent="0.25">
      <c r="A184" s="70">
        <v>183</v>
      </c>
      <c r="B184" s="168">
        <v>30185</v>
      </c>
      <c r="C184" s="72" t="s">
        <v>270</v>
      </c>
      <c r="D184" s="84" t="s">
        <v>758</v>
      </c>
      <c r="E184" s="69"/>
      <c r="F184" s="74">
        <f>2662708.25732421/10000</f>
        <v>266.27082573242097</v>
      </c>
      <c r="G184" s="75" t="s">
        <v>11</v>
      </c>
      <c r="H184" s="76">
        <v>0</v>
      </c>
      <c r="I184" s="76">
        <v>0</v>
      </c>
      <c r="J184" s="76">
        <f t="shared" si="30"/>
        <v>0</v>
      </c>
      <c r="K184" s="302">
        <f>ZoneInondable2022!G147</f>
        <v>0.90695219999999999</v>
      </c>
      <c r="L184" s="302">
        <f>ZoneInondable2022!G744</f>
        <v>18.741253</v>
      </c>
      <c r="M184" s="302">
        <v>0</v>
      </c>
      <c r="N184" s="76"/>
      <c r="O184" s="76"/>
      <c r="P184" s="76"/>
      <c r="Q184" s="76">
        <f t="shared" si="24"/>
        <v>19.6482052</v>
      </c>
      <c r="R184" s="77">
        <f t="shared" si="22"/>
        <v>7.3790304085903646E-2</v>
      </c>
      <c r="S184" s="324">
        <v>7.4061665771139901E-2</v>
      </c>
      <c r="T184" s="78">
        <v>0</v>
      </c>
      <c r="U184" s="79">
        <v>0</v>
      </c>
      <c r="V184" s="80">
        <v>0</v>
      </c>
      <c r="W184" s="80">
        <v>11.4191193</v>
      </c>
      <c r="X184" s="80">
        <v>8.3013415999999989</v>
      </c>
      <c r="Y184" s="80">
        <v>0</v>
      </c>
      <c r="Z184" s="80"/>
      <c r="AA184" s="80"/>
      <c r="AB184" s="164">
        <f t="shared" si="25"/>
        <v>19.720460899999999</v>
      </c>
      <c r="AC184" s="216">
        <f t="shared" si="23"/>
        <v>7.4061665771139901E-2</v>
      </c>
    </row>
    <row r="185" spans="1:29" s="81" customFormat="1" ht="26.25" x14ac:dyDescent="0.25">
      <c r="A185" s="70">
        <v>184</v>
      </c>
      <c r="B185" s="71">
        <v>30186</v>
      </c>
      <c r="C185" s="72" t="s">
        <v>342</v>
      </c>
      <c r="D185" s="84" t="s">
        <v>758</v>
      </c>
      <c r="E185" s="69"/>
      <c r="F185" s="74">
        <f>6161521.32568359/10000</f>
        <v>616.15213256835898</v>
      </c>
      <c r="G185" s="75" t="s">
        <v>11</v>
      </c>
      <c r="H185" s="76">
        <v>0</v>
      </c>
      <c r="I185" s="76">
        <v>0</v>
      </c>
      <c r="J185" s="76">
        <v>0</v>
      </c>
      <c r="K185" s="302">
        <f>ZoneInondable2022!G462</f>
        <v>37.375053000000001</v>
      </c>
      <c r="L185" s="302">
        <f>ZoneInondable2022!G698</f>
        <v>62.325363000000003</v>
      </c>
      <c r="M185" s="302">
        <f>ZoneInondable2022!G207</f>
        <v>71.906419999999997</v>
      </c>
      <c r="N185" s="76"/>
      <c r="O185" s="76"/>
      <c r="P185" s="76"/>
      <c r="Q185" s="76">
        <f t="shared" si="24"/>
        <v>171.60683599999999</v>
      </c>
      <c r="R185" s="77">
        <f t="shared" si="22"/>
        <v>0.27851374186546546</v>
      </c>
      <c r="S185" s="324">
        <v>0.28582817715146197</v>
      </c>
      <c r="T185" s="78">
        <v>0</v>
      </c>
      <c r="U185" s="79">
        <v>0</v>
      </c>
      <c r="V185" s="80">
        <v>0</v>
      </c>
      <c r="W185" s="80">
        <v>38.372818899999999</v>
      </c>
      <c r="X185" s="80">
        <v>63.345628799999993</v>
      </c>
      <c r="Y185" s="80">
        <v>71.771883099999997</v>
      </c>
      <c r="Z185" s="80">
        <v>2.6233100999999999</v>
      </c>
      <c r="AA185" s="80"/>
      <c r="AB185" s="164">
        <f t="shared" si="25"/>
        <v>176.11364089999998</v>
      </c>
      <c r="AC185" s="216">
        <f t="shared" si="23"/>
        <v>0.28582817715146197</v>
      </c>
    </row>
    <row r="186" spans="1:29" s="81" customFormat="1" x14ac:dyDescent="0.25">
      <c r="A186" s="70">
        <v>185</v>
      </c>
      <c r="B186" s="71">
        <v>30187</v>
      </c>
      <c r="C186" s="72" t="s">
        <v>564</v>
      </c>
      <c r="D186" s="84" t="s">
        <v>765</v>
      </c>
      <c r="E186" s="69"/>
      <c r="F186" s="74">
        <f>11169465.5356445/10000</f>
        <v>1116.9465535644499</v>
      </c>
      <c r="G186" s="75" t="s">
        <v>11</v>
      </c>
      <c r="H186" s="76">
        <v>0</v>
      </c>
      <c r="I186" s="76">
        <v>0</v>
      </c>
      <c r="J186" s="76">
        <f>V186/10000</f>
        <v>0</v>
      </c>
      <c r="K186" s="302">
        <f>ZoneInondable2022!G496</f>
        <v>114.61109999999999</v>
      </c>
      <c r="L186" s="302">
        <f>ZoneInondable2022!G488</f>
        <v>30.768684</v>
      </c>
      <c r="M186" s="302">
        <f>ZoneInondable2022!G718</f>
        <v>32.010330000000003</v>
      </c>
      <c r="N186" s="76"/>
      <c r="O186" s="76"/>
      <c r="P186" s="76"/>
      <c r="Q186" s="76">
        <f t="shared" si="24"/>
        <v>177.39011400000001</v>
      </c>
      <c r="R186" s="77">
        <f t="shared" si="22"/>
        <v>0.1588170118202207</v>
      </c>
      <c r="S186" s="324">
        <v>0.15840603954776403</v>
      </c>
      <c r="T186" s="78">
        <v>0</v>
      </c>
      <c r="U186" s="79">
        <v>0</v>
      </c>
      <c r="V186" s="80">
        <v>0</v>
      </c>
      <c r="W186" s="80">
        <v>113.97501639730299</v>
      </c>
      <c r="X186" s="80">
        <v>30.795273842965997</v>
      </c>
      <c r="Y186" s="80">
        <v>32.160789696400002</v>
      </c>
      <c r="Z186" s="80"/>
      <c r="AA186" s="80"/>
      <c r="AB186" s="164">
        <f t="shared" si="25"/>
        <v>176.93107993666899</v>
      </c>
      <c r="AC186" s="216">
        <f t="shared" si="23"/>
        <v>0.15840603954776403</v>
      </c>
    </row>
    <row r="187" spans="1:29" s="81" customFormat="1" x14ac:dyDescent="0.25">
      <c r="A187" s="70">
        <v>186</v>
      </c>
      <c r="B187" s="71">
        <v>30188</v>
      </c>
      <c r="C187" s="72" t="s">
        <v>96</v>
      </c>
      <c r="D187" s="84" t="s">
        <v>754</v>
      </c>
      <c r="E187" s="69"/>
      <c r="F187" s="74">
        <f>4992024.08886718/10000</f>
        <v>499.20240888671799</v>
      </c>
      <c r="G187" s="75" t="s">
        <v>11</v>
      </c>
      <c r="H187" s="76">
        <v>0</v>
      </c>
      <c r="I187" s="76">
        <v>0</v>
      </c>
      <c r="J187" s="76">
        <f>V187/10000</f>
        <v>0</v>
      </c>
      <c r="K187" s="36">
        <f>ZoneInondable2022!G613-X187</f>
        <v>174.72934150301026</v>
      </c>
      <c r="L187" s="36">
        <f>ZoneInondable2022!G41+X187</f>
        <v>10.30447719698973</v>
      </c>
      <c r="M187" s="302">
        <f>ZoneInondable2022!G866</f>
        <v>16.097329999999999</v>
      </c>
      <c r="N187" s="76"/>
      <c r="O187" s="76"/>
      <c r="P187" s="76"/>
      <c r="Q187" s="76">
        <f t="shared" si="24"/>
        <v>201.13114869999998</v>
      </c>
      <c r="R187" s="77">
        <f t="shared" si="22"/>
        <v>0.402905004301856</v>
      </c>
      <c r="S187" s="324">
        <v>0.40567240937804872</v>
      </c>
      <c r="T187" s="78">
        <v>0</v>
      </c>
      <c r="U187" s="79">
        <v>0</v>
      </c>
      <c r="V187" s="80">
        <v>0</v>
      </c>
      <c r="W187" s="80">
        <v>176.99391314341099</v>
      </c>
      <c r="X187" s="80">
        <v>9.1406384969897303</v>
      </c>
      <c r="Y187" s="80">
        <v>16.378092339999998</v>
      </c>
      <c r="Z187" s="80"/>
      <c r="AA187" s="80"/>
      <c r="AB187" s="164">
        <f t="shared" si="25"/>
        <v>202.51264398040072</v>
      </c>
      <c r="AC187" s="216">
        <f t="shared" si="23"/>
        <v>0.40567240937804872</v>
      </c>
    </row>
    <row r="188" spans="1:29" s="81" customFormat="1" x14ac:dyDescent="0.25">
      <c r="A188" s="70">
        <v>187</v>
      </c>
      <c r="B188" s="71">
        <v>30189</v>
      </c>
      <c r="C188" s="72" t="s">
        <v>415</v>
      </c>
      <c r="D188" s="84" t="s">
        <v>758</v>
      </c>
      <c r="E188" s="69"/>
      <c r="F188" s="74">
        <f>161030569.251953/10000</f>
        <v>16103.0569251953</v>
      </c>
      <c r="G188" s="75" t="s">
        <v>11</v>
      </c>
      <c r="H188" s="76">
        <v>0</v>
      </c>
      <c r="I188" s="76">
        <v>0</v>
      </c>
      <c r="J188" s="302">
        <f>ZoneInondable2022!G798</f>
        <v>1526.4572000000001</v>
      </c>
      <c r="K188" s="302">
        <f>ZoneInondable2022!G295</f>
        <v>1044.462</v>
      </c>
      <c r="L188" s="302">
        <f>ZoneInondable2022!G346</f>
        <v>1753.0975000000001</v>
      </c>
      <c r="M188" s="302">
        <f>ZoneInondable2022!G262</f>
        <v>810.73095999999998</v>
      </c>
      <c r="N188" s="302">
        <f>ZoneInondable2022!G762</f>
        <v>82.807280000000006</v>
      </c>
      <c r="O188" s="76"/>
      <c r="P188" s="76"/>
      <c r="Q188" s="76">
        <f t="shared" si="24"/>
        <v>5217.55494</v>
      </c>
      <c r="R188" s="77">
        <f t="shared" si="22"/>
        <v>0.32401021521798545</v>
      </c>
      <c r="S188" s="324">
        <v>0.3254270124326995</v>
      </c>
      <c r="T188" s="78">
        <v>0</v>
      </c>
      <c r="U188" s="79">
        <v>0</v>
      </c>
      <c r="V188" s="80">
        <v>1548.743577</v>
      </c>
      <c r="W188" s="80">
        <v>1081.0631109999999</v>
      </c>
      <c r="X188" s="80">
        <v>1778.661104</v>
      </c>
      <c r="Y188" s="80">
        <v>831.90191419999996</v>
      </c>
      <c r="Z188" s="80"/>
      <c r="AA188" s="80"/>
      <c r="AB188" s="164">
        <f t="shared" si="25"/>
        <v>5240.3697061999992</v>
      </c>
      <c r="AC188" s="216">
        <f t="shared" si="23"/>
        <v>0.3254270124326995</v>
      </c>
    </row>
    <row r="189" spans="1:29" s="81" customFormat="1" x14ac:dyDescent="0.25">
      <c r="A189" s="70">
        <v>189</v>
      </c>
      <c r="B189" s="71">
        <v>30191</v>
      </c>
      <c r="C189" s="72" t="s">
        <v>467</v>
      </c>
      <c r="D189" s="84" t="s">
        <v>765</v>
      </c>
      <c r="E189" s="69" t="s">
        <v>787</v>
      </c>
      <c r="F189" s="74">
        <f>7058889.16894531/10000</f>
        <v>705.88891689453101</v>
      </c>
      <c r="G189" s="75" t="s">
        <v>11</v>
      </c>
      <c r="H189" s="76">
        <v>0</v>
      </c>
      <c r="I189" s="76">
        <v>0</v>
      </c>
      <c r="J189" s="76">
        <f t="shared" ref="J189:J203" si="31">V189/10000</f>
        <v>0</v>
      </c>
      <c r="K189" s="302">
        <f>ZoneInondable2022!G809</f>
        <v>179.45848000000001</v>
      </c>
      <c r="L189" s="302">
        <f>ZoneInondable2022!G326</f>
        <v>49.402973000000003</v>
      </c>
      <c r="M189" s="302">
        <f>ZoneInondable2022!G528</f>
        <v>31.895555000000002</v>
      </c>
      <c r="N189" s="76"/>
      <c r="O189" s="76"/>
      <c r="P189" s="76"/>
      <c r="Q189" s="76">
        <f t="shared" si="24"/>
        <v>260.75700800000004</v>
      </c>
      <c r="R189" s="90">
        <f t="shared" si="22"/>
        <v>0.36940232628551178</v>
      </c>
      <c r="S189" s="324">
        <v>0.28947564167455359</v>
      </c>
      <c r="T189" s="78">
        <v>204.33764716900001</v>
      </c>
      <c r="U189" s="79">
        <v>0</v>
      </c>
      <c r="V189" s="80">
        <v>0</v>
      </c>
      <c r="W189" s="80">
        <v>0</v>
      </c>
      <c r="X189" s="80">
        <v>0</v>
      </c>
      <c r="Y189" s="80">
        <v>0</v>
      </c>
      <c r="Z189" s="80"/>
      <c r="AA189" s="80"/>
      <c r="AB189" s="164">
        <f t="shared" si="25"/>
        <v>204.33764716900001</v>
      </c>
      <c r="AC189" s="216">
        <f t="shared" si="23"/>
        <v>0.28947564167455359</v>
      </c>
    </row>
    <row r="190" spans="1:29" s="81" customFormat="1" ht="39" x14ac:dyDescent="0.25">
      <c r="A190" s="70">
        <v>190</v>
      </c>
      <c r="B190" s="71">
        <v>30192</v>
      </c>
      <c r="C190" s="72" t="s">
        <v>382</v>
      </c>
      <c r="D190" s="84" t="s">
        <v>755</v>
      </c>
      <c r="E190" s="69"/>
      <c r="F190" s="74">
        <f>14905981.9536132/10000</f>
        <v>1490.59819536132</v>
      </c>
      <c r="G190" s="75" t="s">
        <v>11</v>
      </c>
      <c r="H190" s="76">
        <v>0</v>
      </c>
      <c r="I190" s="76">
        <v>0</v>
      </c>
      <c r="J190" s="76">
        <f t="shared" si="31"/>
        <v>0</v>
      </c>
      <c r="K190" s="302">
        <f>ZoneInondable2022!G771</f>
        <v>348.93889999999999</v>
      </c>
      <c r="L190" s="302">
        <f>ZoneInondable2022!G241</f>
        <v>3.8933896000000003E-2</v>
      </c>
      <c r="M190" s="302">
        <f>ZoneInondable2022!G360</f>
        <v>57.219239999999999</v>
      </c>
      <c r="N190" s="76"/>
      <c r="O190" s="76"/>
      <c r="P190" s="76"/>
      <c r="Q190" s="76">
        <f t="shared" si="24"/>
        <v>406.19707389600001</v>
      </c>
      <c r="R190" s="77">
        <f t="shared" si="22"/>
        <v>0.27250608189387893</v>
      </c>
      <c r="S190" s="324">
        <v>0.28804819132543275</v>
      </c>
      <c r="T190" s="78">
        <v>0</v>
      </c>
      <c r="U190" s="79">
        <v>0</v>
      </c>
      <c r="V190" s="80">
        <v>0</v>
      </c>
      <c r="W190" s="80">
        <v>367.590908496846</v>
      </c>
      <c r="X190" s="80">
        <v>3.8963094190300002E-2</v>
      </c>
      <c r="Y190" s="80">
        <v>61.734242575745995</v>
      </c>
      <c r="Z190" s="80"/>
      <c r="AA190" s="80"/>
      <c r="AB190" s="164">
        <f t="shared" si="25"/>
        <v>429.36411416678231</v>
      </c>
      <c r="AC190" s="216">
        <f t="shared" si="23"/>
        <v>0.28804819132543275</v>
      </c>
    </row>
    <row r="191" spans="1:29" s="81" customFormat="1" x14ac:dyDescent="0.25">
      <c r="A191" s="70">
        <v>191</v>
      </c>
      <c r="B191" s="71">
        <v>30193</v>
      </c>
      <c r="C191" s="72" t="s">
        <v>142</v>
      </c>
      <c r="D191" s="84" t="s">
        <v>754</v>
      </c>
      <c r="E191" s="69"/>
      <c r="F191" s="74">
        <f>11072011.9697265/10000</f>
        <v>1107.20119697265</v>
      </c>
      <c r="G191" s="75" t="s">
        <v>11</v>
      </c>
      <c r="H191" s="76">
        <v>0</v>
      </c>
      <c r="I191" s="76">
        <v>0</v>
      </c>
      <c r="J191" s="76">
        <f t="shared" si="31"/>
        <v>0</v>
      </c>
      <c r="K191" s="36">
        <f>ZoneInondable2022!G66-X191</f>
        <v>42.0128898356419</v>
      </c>
      <c r="L191" s="36">
        <f>ZoneInondable2022!G652+X191</f>
        <v>21.123770764358099</v>
      </c>
      <c r="M191" s="302">
        <f>ZoneInondable2022!G385</f>
        <v>40.710149999999999</v>
      </c>
      <c r="N191" s="76"/>
      <c r="O191" s="76"/>
      <c r="P191" s="76"/>
      <c r="Q191" s="76">
        <f t="shared" si="24"/>
        <v>103.8468106</v>
      </c>
      <c r="R191" s="77">
        <f t="shared" si="22"/>
        <v>9.3792176962905885E-2</v>
      </c>
      <c r="S191" s="324">
        <v>9.2626996244402487E-2</v>
      </c>
      <c r="T191" s="78">
        <v>0</v>
      </c>
      <c r="U191" s="79">
        <v>0</v>
      </c>
      <c r="V191" s="80">
        <v>0</v>
      </c>
      <c r="W191" s="80">
        <v>29.121348213965799</v>
      </c>
      <c r="X191" s="80">
        <v>19.012400164358098</v>
      </c>
      <c r="Y191" s="80">
        <v>54.422972735459695</v>
      </c>
      <c r="Z191" s="80"/>
      <c r="AA191" s="80"/>
      <c r="AB191" s="164">
        <f t="shared" si="25"/>
        <v>102.5567211137836</v>
      </c>
      <c r="AC191" s="216">
        <f t="shared" si="23"/>
        <v>9.2626996244402487E-2</v>
      </c>
    </row>
    <row r="192" spans="1:29" s="81" customFormat="1" x14ac:dyDescent="0.25">
      <c r="A192" s="70">
        <v>192</v>
      </c>
      <c r="B192" s="71">
        <v>30194</v>
      </c>
      <c r="C192" s="72" t="s">
        <v>518</v>
      </c>
      <c r="D192" s="84" t="s">
        <v>765</v>
      </c>
      <c r="E192" s="69"/>
      <c r="F192" s="74">
        <f>8709428.79589843/10000</f>
        <v>870.94287958984296</v>
      </c>
      <c r="G192" s="75" t="s">
        <v>11</v>
      </c>
      <c r="H192" s="76">
        <v>0</v>
      </c>
      <c r="I192" s="76">
        <v>0</v>
      </c>
      <c r="J192" s="76">
        <f t="shared" si="31"/>
        <v>0</v>
      </c>
      <c r="K192" s="302">
        <f>ZoneInondable2022!G481</f>
        <v>76.415710000000004</v>
      </c>
      <c r="L192" s="302">
        <f>ZoneInondable2022!G438</f>
        <v>7.4661819999999999</v>
      </c>
      <c r="M192" s="302">
        <f>ZoneInondable2022!G389</f>
        <v>23.638372</v>
      </c>
      <c r="N192" s="76"/>
      <c r="O192" s="76"/>
      <c r="P192" s="76"/>
      <c r="Q192" s="76">
        <f t="shared" si="24"/>
        <v>107.52026400000001</v>
      </c>
      <c r="R192" s="77">
        <f t="shared" si="22"/>
        <v>0.12345271603877743</v>
      </c>
      <c r="S192" s="324">
        <v>0.12403154645102769</v>
      </c>
      <c r="T192" s="78">
        <v>0</v>
      </c>
      <c r="U192" s="79">
        <v>0</v>
      </c>
      <c r="V192" s="80">
        <v>0</v>
      </c>
      <c r="W192" s="80">
        <v>77.295956707665411</v>
      </c>
      <c r="X192" s="80">
        <v>7.4877767996740108</v>
      </c>
      <c r="Y192" s="80">
        <v>23.240658718700001</v>
      </c>
      <c r="Z192" s="80"/>
      <c r="AA192" s="80"/>
      <c r="AB192" s="164">
        <f t="shared" si="25"/>
        <v>108.02439222603942</v>
      </c>
      <c r="AC192" s="216">
        <f t="shared" si="23"/>
        <v>0.12403154645102769</v>
      </c>
    </row>
    <row r="193" spans="1:33" s="28" customFormat="1" x14ac:dyDescent="0.25">
      <c r="A193" s="17">
        <v>193</v>
      </c>
      <c r="B193" s="18">
        <v>30195</v>
      </c>
      <c r="C193" s="19" t="s">
        <v>670</v>
      </c>
      <c r="D193" s="20" t="s">
        <v>754</v>
      </c>
      <c r="E193" s="21"/>
      <c r="F193" s="22">
        <f>8265260.68408203/10000</f>
        <v>826.52606840820306</v>
      </c>
      <c r="G193" s="23" t="s">
        <v>761</v>
      </c>
      <c r="H193" s="302">
        <f>ZoneInondable2022!G712</f>
        <v>16.897690000000001</v>
      </c>
      <c r="I193" s="24">
        <v>0</v>
      </c>
      <c r="J193" s="24">
        <f t="shared" si="31"/>
        <v>0</v>
      </c>
      <c r="K193" s="24">
        <v>0</v>
      </c>
      <c r="L193" s="24">
        <v>0</v>
      </c>
      <c r="M193" s="24">
        <v>0</v>
      </c>
      <c r="N193" s="24"/>
      <c r="O193" s="24"/>
      <c r="P193" s="24"/>
      <c r="Q193" s="24">
        <f t="shared" si="24"/>
        <v>16.897690000000001</v>
      </c>
      <c r="R193" s="85">
        <f t="shared" si="22"/>
        <v>2.0444231157213305E-2</v>
      </c>
      <c r="S193" s="324">
        <v>2.0176089312846764E-2</v>
      </c>
      <c r="T193" s="25">
        <v>16.676063775599999</v>
      </c>
      <c r="U193" s="26">
        <v>0</v>
      </c>
      <c r="V193" s="27">
        <v>0</v>
      </c>
      <c r="W193" s="27">
        <v>0</v>
      </c>
      <c r="X193" s="27">
        <v>0</v>
      </c>
      <c r="Y193" s="27">
        <v>0</v>
      </c>
      <c r="Z193" s="27"/>
      <c r="AA193" s="27"/>
      <c r="AB193" s="160">
        <f t="shared" si="25"/>
        <v>16.676063775599999</v>
      </c>
      <c r="AC193" s="216">
        <f t="shared" si="23"/>
        <v>2.0176089312846764E-2</v>
      </c>
    </row>
    <row r="194" spans="1:33" s="81" customFormat="1" x14ac:dyDescent="0.25">
      <c r="A194" s="70">
        <v>194</v>
      </c>
      <c r="B194" s="71">
        <v>30196</v>
      </c>
      <c r="C194" s="72" t="s">
        <v>504</v>
      </c>
      <c r="D194" s="84" t="s">
        <v>765</v>
      </c>
      <c r="E194" s="69"/>
      <c r="F194" s="74">
        <f>6064420.05371093/10000</f>
        <v>606.44200537109305</v>
      </c>
      <c r="G194" s="75" t="s">
        <v>11</v>
      </c>
      <c r="H194" s="76">
        <v>0</v>
      </c>
      <c r="I194" s="76">
        <v>0</v>
      </c>
      <c r="J194" s="76">
        <f t="shared" si="31"/>
        <v>0</v>
      </c>
      <c r="K194" s="302">
        <f>ZoneInondable2022!G388</f>
        <v>31.710191999999999</v>
      </c>
      <c r="L194" s="302">
        <f>ZoneInondable2022!G370</f>
        <v>5.0193396000000003</v>
      </c>
      <c r="M194" s="302">
        <f>ZoneInondable2022!G447</f>
        <v>15.662625999999999</v>
      </c>
      <c r="N194" s="76"/>
      <c r="O194" s="76"/>
      <c r="P194" s="76"/>
      <c r="Q194" s="76">
        <f t="shared" si="24"/>
        <v>52.392157600000004</v>
      </c>
      <c r="R194" s="77">
        <f t="shared" si="22"/>
        <v>8.639269235306396E-2</v>
      </c>
      <c r="S194" s="324">
        <v>8.5159192055797681E-2</v>
      </c>
      <c r="T194" s="78">
        <v>51.6441112061</v>
      </c>
      <c r="U194" s="79">
        <v>0</v>
      </c>
      <c r="V194" s="80">
        <v>0</v>
      </c>
      <c r="W194" s="80">
        <v>0</v>
      </c>
      <c r="X194" s="80">
        <v>0</v>
      </c>
      <c r="Y194" s="80">
        <v>0</v>
      </c>
      <c r="Z194" s="80"/>
      <c r="AA194" s="80"/>
      <c r="AB194" s="164">
        <f t="shared" si="25"/>
        <v>51.6441112061</v>
      </c>
      <c r="AC194" s="216">
        <f t="shared" si="23"/>
        <v>8.5159192055797681E-2</v>
      </c>
    </row>
    <row r="195" spans="1:33" s="81" customFormat="1" x14ac:dyDescent="0.25">
      <c r="A195" s="70">
        <v>195</v>
      </c>
      <c r="B195" s="71">
        <v>30197</v>
      </c>
      <c r="C195" s="72" t="s">
        <v>107</v>
      </c>
      <c r="D195" s="84" t="s">
        <v>765</v>
      </c>
      <c r="E195" s="69"/>
      <c r="F195" s="74">
        <f>6260086.07910156/10000</f>
        <v>626.008607910156</v>
      </c>
      <c r="G195" s="75" t="s">
        <v>11</v>
      </c>
      <c r="H195" s="76">
        <v>0</v>
      </c>
      <c r="I195" s="76">
        <v>0</v>
      </c>
      <c r="J195" s="76">
        <f t="shared" si="31"/>
        <v>0</v>
      </c>
      <c r="K195" s="302">
        <f>ZoneInondable2022!G47</f>
        <v>42.913967</v>
      </c>
      <c r="L195" s="302">
        <f>ZoneInondable2022!G850</f>
        <v>22.648039000000001</v>
      </c>
      <c r="M195" s="302">
        <f>ZoneInondable2022!G674</f>
        <v>9.5382610000000003</v>
      </c>
      <c r="N195" s="76"/>
      <c r="O195" s="76"/>
      <c r="P195" s="76"/>
      <c r="Q195" s="76">
        <f t="shared" si="24"/>
        <v>75.100267000000002</v>
      </c>
      <c r="R195" s="77">
        <f t="shared" ref="R195:R258" si="32">Q195/F195</f>
        <v>0.11996682801329515</v>
      </c>
      <c r="S195" s="324">
        <v>0.1260339919715783</v>
      </c>
      <c r="T195" s="78">
        <v>0</v>
      </c>
      <c r="U195" s="79">
        <v>0</v>
      </c>
      <c r="V195" s="80">
        <v>0</v>
      </c>
      <c r="W195" s="80">
        <v>45.6817876748785</v>
      </c>
      <c r="X195" s="80">
        <v>22.625641002909003</v>
      </c>
      <c r="Y195" s="80">
        <v>10.590935185699999</v>
      </c>
      <c r="Z195" s="80"/>
      <c r="AA195" s="80"/>
      <c r="AB195" s="164">
        <f t="shared" si="25"/>
        <v>78.898363863487504</v>
      </c>
      <c r="AC195" s="216">
        <f t="shared" ref="AC195:AC258" si="33">AB195/F195</f>
        <v>0.1260339919715783</v>
      </c>
    </row>
    <row r="196" spans="1:33" s="28" customFormat="1" x14ac:dyDescent="0.25">
      <c r="A196" s="17">
        <v>196</v>
      </c>
      <c r="B196" s="18">
        <v>30198</v>
      </c>
      <c r="C196" s="19" t="s">
        <v>544</v>
      </c>
      <c r="D196" s="20" t="s">
        <v>754</v>
      </c>
      <c r="E196" s="21"/>
      <c r="F196" s="22">
        <f>30981998.2158203/10000</f>
        <v>3098.1998215820299</v>
      </c>
      <c r="G196" s="23" t="s">
        <v>761</v>
      </c>
      <c r="H196" s="302">
        <f>ZoneInondable2022!G453</f>
        <v>0.7041927</v>
      </c>
      <c r="I196" s="24">
        <v>0</v>
      </c>
      <c r="J196" s="24">
        <f t="shared" si="31"/>
        <v>0</v>
      </c>
      <c r="K196" s="24">
        <v>0</v>
      </c>
      <c r="L196" s="24">
        <v>0</v>
      </c>
      <c r="M196" s="24">
        <v>0</v>
      </c>
      <c r="N196" s="24"/>
      <c r="O196" s="24"/>
      <c r="P196" s="24"/>
      <c r="Q196" s="24">
        <f t="shared" ref="Q196:Q259" si="34">SUM(H196:P196)</f>
        <v>0.7041927</v>
      </c>
      <c r="R196" s="85">
        <f t="shared" si="32"/>
        <v>2.2729092394060594E-4</v>
      </c>
      <c r="S196" s="324">
        <v>4.5364559459638696E-4</v>
      </c>
      <c r="T196" s="25">
        <v>1.4054847002399999</v>
      </c>
      <c r="U196" s="26">
        <v>0</v>
      </c>
      <c r="V196" s="27">
        <v>0</v>
      </c>
      <c r="W196" s="27">
        <v>0</v>
      </c>
      <c r="X196" s="27">
        <v>0</v>
      </c>
      <c r="Y196" s="27">
        <v>0</v>
      </c>
      <c r="Z196" s="27"/>
      <c r="AA196" s="27"/>
      <c r="AB196" s="160">
        <f t="shared" ref="AB196:AB259" si="35">SUM(T196+U196+V196+W196+X196+Y196+Z196+AA196)</f>
        <v>1.4054847002399999</v>
      </c>
      <c r="AC196" s="216">
        <f t="shared" si="33"/>
        <v>4.5364559459638696E-4</v>
      </c>
    </row>
    <row r="197" spans="1:33" s="28" customFormat="1" x14ac:dyDescent="0.25">
      <c r="A197" s="17">
        <v>197</v>
      </c>
      <c r="B197" s="18">
        <v>30199</v>
      </c>
      <c r="C197" s="19" t="s">
        <v>711</v>
      </c>
      <c r="D197" s="20" t="s">
        <v>766</v>
      </c>
      <c r="E197" s="21"/>
      <c r="F197" s="22">
        <f>6521597.4765625/10000</f>
        <v>652.15974765625003</v>
      </c>
      <c r="G197" s="23" t="s">
        <v>761</v>
      </c>
      <c r="H197" s="302">
        <f>ZoneInondable2022!G791</f>
        <v>23.686219999999999</v>
      </c>
      <c r="I197" s="24">
        <v>0</v>
      </c>
      <c r="J197" s="24">
        <f t="shared" si="31"/>
        <v>0</v>
      </c>
      <c r="K197" s="24">
        <v>0</v>
      </c>
      <c r="L197" s="24">
        <v>0</v>
      </c>
      <c r="M197" s="24">
        <v>0</v>
      </c>
      <c r="N197" s="24"/>
      <c r="O197" s="24"/>
      <c r="P197" s="24"/>
      <c r="Q197" s="24">
        <f t="shared" si="34"/>
        <v>23.686219999999999</v>
      </c>
      <c r="R197" s="85">
        <f t="shared" si="32"/>
        <v>3.6319659539130099E-2</v>
      </c>
      <c r="S197" s="324">
        <v>3.9038199069469981E-2</v>
      </c>
      <c r="T197" s="25">
        <v>25.459142054099999</v>
      </c>
      <c r="U197" s="26">
        <v>0</v>
      </c>
      <c r="V197" s="27">
        <v>0</v>
      </c>
      <c r="W197" s="27">
        <v>0</v>
      </c>
      <c r="X197" s="27">
        <v>0</v>
      </c>
      <c r="Y197" s="27">
        <v>0</v>
      </c>
      <c r="Z197" s="27"/>
      <c r="AA197" s="27"/>
      <c r="AB197" s="160">
        <f t="shared" si="35"/>
        <v>25.459142054099999</v>
      </c>
      <c r="AC197" s="216">
        <f t="shared" si="33"/>
        <v>3.9038199069469981E-2</v>
      </c>
      <c r="AG197" s="35"/>
    </row>
    <row r="198" spans="1:33" s="28" customFormat="1" x14ac:dyDescent="0.25">
      <c r="A198" s="17">
        <v>198</v>
      </c>
      <c r="B198" s="18">
        <v>30200</v>
      </c>
      <c r="C198" s="19" t="s">
        <v>592</v>
      </c>
      <c r="D198" s="20" t="s">
        <v>755</v>
      </c>
      <c r="E198" s="21"/>
      <c r="F198" s="22">
        <f>41399211.3129882/10000</f>
        <v>4139.92113129882</v>
      </c>
      <c r="G198" s="23" t="s">
        <v>761</v>
      </c>
      <c r="H198" s="302">
        <f>ZoneInondable2022!G584</f>
        <v>322.58920000000001</v>
      </c>
      <c r="I198" s="24">
        <v>0</v>
      </c>
      <c r="J198" s="24">
        <f t="shared" si="31"/>
        <v>0</v>
      </c>
      <c r="K198" s="24">
        <v>0</v>
      </c>
      <c r="L198" s="24">
        <v>0</v>
      </c>
      <c r="M198" s="24">
        <v>0</v>
      </c>
      <c r="N198" s="24"/>
      <c r="O198" s="24"/>
      <c r="P198" s="24"/>
      <c r="Q198" s="24">
        <f t="shared" si="34"/>
        <v>322.58920000000001</v>
      </c>
      <c r="R198" s="85">
        <f t="shared" si="32"/>
        <v>7.7921581056495604E-2</v>
      </c>
      <c r="S198" s="324">
        <v>7.7984407074371556E-2</v>
      </c>
      <c r="T198" s="25">
        <v>322.84929475899997</v>
      </c>
      <c r="U198" s="26">
        <v>0</v>
      </c>
      <c r="V198" s="27">
        <v>0</v>
      </c>
      <c r="W198" s="27">
        <v>0</v>
      </c>
      <c r="X198" s="27">
        <v>0</v>
      </c>
      <c r="Y198" s="27">
        <v>0</v>
      </c>
      <c r="Z198" s="27"/>
      <c r="AA198" s="27"/>
      <c r="AB198" s="160">
        <f t="shared" si="35"/>
        <v>322.84929475899997</v>
      </c>
      <c r="AC198" s="216">
        <f t="shared" si="33"/>
        <v>7.7984407074371556E-2</v>
      </c>
    </row>
    <row r="199" spans="1:33" s="182" customFormat="1" ht="26.25" x14ac:dyDescent="0.25">
      <c r="A199" s="169">
        <v>199</v>
      </c>
      <c r="B199" s="170">
        <v>30202</v>
      </c>
      <c r="C199" s="171" t="s">
        <v>296</v>
      </c>
      <c r="D199" s="172" t="s">
        <v>773</v>
      </c>
      <c r="E199" s="173" t="s">
        <v>784</v>
      </c>
      <c r="F199" s="174">
        <f>18617886.8198242/10000</f>
        <v>1861.78868198242</v>
      </c>
      <c r="G199" s="175" t="s">
        <v>788</v>
      </c>
      <c r="H199" s="302">
        <f>ZoneInondable2022!G536</f>
        <v>41.977739999999997</v>
      </c>
      <c r="I199" s="302">
        <f>ZoneInondable2022!G311</f>
        <v>4.2849525999999996</v>
      </c>
      <c r="J199" s="176">
        <f t="shared" si="31"/>
        <v>0</v>
      </c>
      <c r="K199" s="302">
        <f>ZoneInondable2022!G505+ZoneInondable2022!G803</f>
        <v>678.93100565999998</v>
      </c>
      <c r="L199" s="302">
        <f>ZoneInondable2022!G168+ZoneInondable2022!G835</f>
        <v>22.084524356999999</v>
      </c>
      <c r="M199" s="176">
        <v>0</v>
      </c>
      <c r="N199" s="176"/>
      <c r="O199" s="176"/>
      <c r="P199" s="176"/>
      <c r="Q199" s="176">
        <f t="shared" si="34"/>
        <v>747.27822261699998</v>
      </c>
      <c r="R199" s="177">
        <f t="shared" si="32"/>
        <v>0.40137649876639231</v>
      </c>
      <c r="S199" s="324">
        <v>0.39486537500072383</v>
      </c>
      <c r="T199" s="178">
        <v>38.258966623999996</v>
      </c>
      <c r="U199" s="179">
        <v>4.1054080654799998</v>
      </c>
      <c r="V199" s="180">
        <v>0</v>
      </c>
      <c r="W199" s="180">
        <v>670.71218379651998</v>
      </c>
      <c r="X199" s="180">
        <v>22.079327597091698</v>
      </c>
      <c r="Y199" s="180">
        <v>0</v>
      </c>
      <c r="Z199" s="180"/>
      <c r="AA199" s="180"/>
      <c r="AB199" s="181">
        <f t="shared" si="35"/>
        <v>735.15588608309167</v>
      </c>
      <c r="AC199" s="216">
        <f t="shared" si="33"/>
        <v>0.39486537500072383</v>
      </c>
    </row>
    <row r="200" spans="1:33" s="28" customFormat="1" ht="26.25" x14ac:dyDescent="0.25">
      <c r="A200" s="17">
        <v>200</v>
      </c>
      <c r="B200" s="18">
        <v>30201</v>
      </c>
      <c r="C200" s="19" t="s">
        <v>501</v>
      </c>
      <c r="D200" s="20" t="s">
        <v>765</v>
      </c>
      <c r="E200" s="21"/>
      <c r="F200" s="22">
        <f>27621729.114746/10000</f>
        <v>2762.1729114745999</v>
      </c>
      <c r="G200" s="23" t="s">
        <v>761</v>
      </c>
      <c r="H200" s="302">
        <f>ZoneInondable2022!G362</f>
        <v>61.568150000000003</v>
      </c>
      <c r="I200" s="24">
        <v>0</v>
      </c>
      <c r="J200" s="24">
        <f t="shared" si="31"/>
        <v>0</v>
      </c>
      <c r="K200" s="24">
        <v>0</v>
      </c>
      <c r="L200" s="24">
        <v>0</v>
      </c>
      <c r="M200" s="24">
        <v>0</v>
      </c>
      <c r="N200" s="24"/>
      <c r="O200" s="24"/>
      <c r="P200" s="24"/>
      <c r="Q200" s="24">
        <f t="shared" si="34"/>
        <v>61.568150000000003</v>
      </c>
      <c r="R200" s="85">
        <f t="shared" si="32"/>
        <v>2.2289752297632786E-2</v>
      </c>
      <c r="S200" s="324">
        <v>2.1667994665456471E-2</v>
      </c>
      <c r="T200" s="25">
        <v>59.850747910899997</v>
      </c>
      <c r="U200" s="26">
        <v>0</v>
      </c>
      <c r="V200" s="27">
        <v>0</v>
      </c>
      <c r="W200" s="27">
        <v>0</v>
      </c>
      <c r="X200" s="27">
        <v>0</v>
      </c>
      <c r="Y200" s="27">
        <v>0</v>
      </c>
      <c r="Z200" s="27"/>
      <c r="AA200" s="27"/>
      <c r="AB200" s="160">
        <f t="shared" si="35"/>
        <v>59.850747910899997</v>
      </c>
      <c r="AC200" s="216">
        <f t="shared" si="33"/>
        <v>2.1667994665456471E-2</v>
      </c>
    </row>
    <row r="201" spans="1:33" s="81" customFormat="1" x14ac:dyDescent="0.25">
      <c r="A201" s="70">
        <v>201</v>
      </c>
      <c r="B201" s="71">
        <v>30203</v>
      </c>
      <c r="C201" s="72" t="s">
        <v>111</v>
      </c>
      <c r="D201" s="84" t="s">
        <v>765</v>
      </c>
      <c r="E201" s="69"/>
      <c r="F201" s="74">
        <f>14564118.3974609/10000</f>
        <v>1456.41183974609</v>
      </c>
      <c r="G201" s="75" t="s">
        <v>11</v>
      </c>
      <c r="H201" s="76">
        <v>0</v>
      </c>
      <c r="I201" s="76">
        <v>0</v>
      </c>
      <c r="J201" s="76">
        <f t="shared" si="31"/>
        <v>0</v>
      </c>
      <c r="K201" s="302">
        <f>ZoneInondable2022!G366</f>
        <v>31.988900999999998</v>
      </c>
      <c r="L201" s="302">
        <f>ZoneInondable2022!G725</f>
        <v>0.53287859999999998</v>
      </c>
      <c r="M201" s="302">
        <f>ZoneInondable2022!G49</f>
        <v>12.694456000000001</v>
      </c>
      <c r="N201" s="76"/>
      <c r="O201" s="76"/>
      <c r="P201" s="76"/>
      <c r="Q201" s="76">
        <f t="shared" si="34"/>
        <v>45.216235599999997</v>
      </c>
      <c r="R201" s="77">
        <f t="shared" si="32"/>
        <v>3.1046325198704077E-2</v>
      </c>
      <c r="S201" s="324">
        <v>3.2333733811311334E-2</v>
      </c>
      <c r="T201" s="78">
        <v>0</v>
      </c>
      <c r="U201" s="79">
        <v>0</v>
      </c>
      <c r="V201" s="80">
        <v>0</v>
      </c>
      <c r="W201" s="80">
        <v>33.946131324921296</v>
      </c>
      <c r="X201" s="80">
        <v>0.61512925567099996</v>
      </c>
      <c r="Y201" s="80">
        <v>12.529972165399998</v>
      </c>
      <c r="Z201" s="80"/>
      <c r="AA201" s="80"/>
      <c r="AB201" s="164">
        <f t="shared" si="35"/>
        <v>47.091232745992293</v>
      </c>
      <c r="AC201" s="216">
        <f t="shared" si="33"/>
        <v>3.2333733811311334E-2</v>
      </c>
    </row>
    <row r="202" spans="1:33" s="81" customFormat="1" x14ac:dyDescent="0.25">
      <c r="A202" s="70">
        <v>202</v>
      </c>
      <c r="B202" s="71">
        <v>30204</v>
      </c>
      <c r="C202" s="72" t="s">
        <v>23</v>
      </c>
      <c r="D202" s="84" t="s">
        <v>765</v>
      </c>
      <c r="E202" s="69"/>
      <c r="F202" s="74">
        <f>6534639.09179687/10000</f>
        <v>653.46390917968699</v>
      </c>
      <c r="G202" s="75" t="s">
        <v>11</v>
      </c>
      <c r="H202" s="76">
        <v>0</v>
      </c>
      <c r="I202" s="76">
        <v>0</v>
      </c>
      <c r="J202" s="76">
        <f t="shared" si="31"/>
        <v>0</v>
      </c>
      <c r="K202" s="302">
        <f>ZoneInondable2022!G6</f>
        <v>151.64839000000001</v>
      </c>
      <c r="L202" s="302">
        <f>ZoneInondable2022!G730</f>
        <v>7.4740057000000002</v>
      </c>
      <c r="M202" s="302">
        <f>ZoneInondable2022!G618</f>
        <v>27.926946999999998</v>
      </c>
      <c r="N202" s="76"/>
      <c r="O202" s="76"/>
      <c r="P202" s="76"/>
      <c r="Q202" s="76">
        <f t="shared" si="34"/>
        <v>187.04934270000001</v>
      </c>
      <c r="R202" s="77">
        <f t="shared" si="32"/>
        <v>0.28624280556642939</v>
      </c>
      <c r="S202" s="324">
        <v>0.28945440128998112</v>
      </c>
      <c r="T202" s="78">
        <v>0</v>
      </c>
      <c r="U202" s="79">
        <v>0</v>
      </c>
      <c r="V202" s="80">
        <v>0</v>
      </c>
      <c r="W202" s="80">
        <v>153.44438835711401</v>
      </c>
      <c r="X202" s="80">
        <v>7.7334102310028898</v>
      </c>
      <c r="Y202" s="80">
        <v>27.970206008099996</v>
      </c>
      <c r="Z202" s="80"/>
      <c r="AA202" s="80"/>
      <c r="AB202" s="164">
        <f t="shared" si="35"/>
        <v>189.14800459621691</v>
      </c>
      <c r="AC202" s="216">
        <f t="shared" si="33"/>
        <v>0.28945440128998112</v>
      </c>
    </row>
    <row r="203" spans="1:33" s="81" customFormat="1" x14ac:dyDescent="0.25">
      <c r="A203" s="70">
        <v>203</v>
      </c>
      <c r="B203" s="71">
        <v>30205</v>
      </c>
      <c r="C203" s="72" t="s">
        <v>13</v>
      </c>
      <c r="D203" s="84" t="s">
        <v>765</v>
      </c>
      <c r="E203" s="69"/>
      <c r="F203" s="74">
        <f>7688142.53173828/10000</f>
        <v>768.81425317382798</v>
      </c>
      <c r="G203" s="75" t="s">
        <v>11</v>
      </c>
      <c r="H203" s="76">
        <v>0</v>
      </c>
      <c r="I203" s="76">
        <v>0</v>
      </c>
      <c r="J203" s="76">
        <f t="shared" si="31"/>
        <v>0</v>
      </c>
      <c r="K203" s="302">
        <f>ZoneInondable2022!G3</f>
        <v>30.518360000000001</v>
      </c>
      <c r="L203" s="302">
        <f>ZoneInondable2022!G135</f>
        <v>5.4751070000000004</v>
      </c>
      <c r="M203" s="302">
        <f>ZoneInondable2022!G103</f>
        <v>17.733640000000001</v>
      </c>
      <c r="N203" s="76"/>
      <c r="O203" s="76"/>
      <c r="P203" s="76"/>
      <c r="Q203" s="76">
        <f t="shared" si="34"/>
        <v>53.727107000000004</v>
      </c>
      <c r="R203" s="77">
        <f t="shared" si="32"/>
        <v>6.9883078751731165E-2</v>
      </c>
      <c r="S203" s="324">
        <v>6.4986533473129465E-2</v>
      </c>
      <c r="T203" s="78">
        <v>49.962573198500003</v>
      </c>
      <c r="U203" s="79">
        <v>0</v>
      </c>
      <c r="V203" s="80">
        <v>0</v>
      </c>
      <c r="W203" s="80">
        <v>0</v>
      </c>
      <c r="X203" s="80">
        <v>0</v>
      </c>
      <c r="Y203" s="80">
        <v>0</v>
      </c>
      <c r="Z203" s="80"/>
      <c r="AA203" s="80"/>
      <c r="AB203" s="164">
        <f t="shared" si="35"/>
        <v>49.962573198500003</v>
      </c>
      <c r="AC203" s="216">
        <f t="shared" si="33"/>
        <v>6.4986533473129465E-2</v>
      </c>
    </row>
    <row r="204" spans="1:33" s="81" customFormat="1" x14ac:dyDescent="0.25">
      <c r="A204" s="70">
        <v>204</v>
      </c>
      <c r="B204" s="71">
        <v>30206</v>
      </c>
      <c r="C204" s="72" t="s">
        <v>300</v>
      </c>
      <c r="D204" s="84" t="s">
        <v>754</v>
      </c>
      <c r="E204" s="69"/>
      <c r="F204" s="74">
        <f>11938903.5449218/10000</f>
        <v>1193.89035449218</v>
      </c>
      <c r="G204" s="75" t="s">
        <v>11</v>
      </c>
      <c r="H204" s="76">
        <f>2.1288947/10000</f>
        <v>2.1288947000000001E-4</v>
      </c>
      <c r="I204" s="76">
        <v>0</v>
      </c>
      <c r="J204" s="302">
        <f>ZoneInondable2022!G320</f>
        <v>1.2220273E-3</v>
      </c>
      <c r="K204" s="302">
        <f>ZoneInondable2022!G861</f>
        <v>8.1154519999999994</v>
      </c>
      <c r="L204" s="302">
        <f>ZoneInondable2022!G170</f>
        <v>0.83494639999999998</v>
      </c>
      <c r="M204" s="302">
        <f>ZoneInondable2022!G205</f>
        <v>1.1444607</v>
      </c>
      <c r="N204" s="76"/>
      <c r="O204" s="76"/>
      <c r="P204" s="76"/>
      <c r="Q204" s="76">
        <f t="shared" si="34"/>
        <v>10.096294016769999</v>
      </c>
      <c r="R204" s="77">
        <f t="shared" si="32"/>
        <v>8.4566342116604559E-3</v>
      </c>
      <c r="S204" s="324">
        <v>5.5495793118166842E-3</v>
      </c>
      <c r="T204" s="78">
        <v>2.1288947000000001E-4</v>
      </c>
      <c r="U204" s="79">
        <v>0</v>
      </c>
      <c r="V204" s="80">
        <v>0</v>
      </c>
      <c r="W204" s="80">
        <v>5.5166170471500005</v>
      </c>
      <c r="X204" s="80">
        <v>4.9100044728900001E-4</v>
      </c>
      <c r="Y204" s="80">
        <v>1.1082682747999999</v>
      </c>
      <c r="Z204" s="80"/>
      <c r="AA204" s="80"/>
      <c r="AB204" s="164">
        <f t="shared" si="35"/>
        <v>6.6255892118672897</v>
      </c>
      <c r="AC204" s="216">
        <f t="shared" si="33"/>
        <v>5.5495793118166842E-3</v>
      </c>
    </row>
    <row r="205" spans="1:33" s="107" customFormat="1" x14ac:dyDescent="0.25">
      <c r="A205" s="104">
        <v>205</v>
      </c>
      <c r="B205" s="71">
        <v>30207</v>
      </c>
      <c r="C205" s="72" t="s">
        <v>364</v>
      </c>
      <c r="D205" s="84" t="s">
        <v>754</v>
      </c>
      <c r="E205" s="69" t="s">
        <v>783</v>
      </c>
      <c r="F205" s="74">
        <f>16063576.9560546/10000</f>
        <v>1606.3576956054601</v>
      </c>
      <c r="G205" s="75" t="s">
        <v>11</v>
      </c>
      <c r="H205" s="76">
        <v>0</v>
      </c>
      <c r="I205" s="76">
        <v>0</v>
      </c>
      <c r="J205" s="76">
        <f t="shared" ref="J205:J216" si="36">V205/10000</f>
        <v>0</v>
      </c>
      <c r="K205" s="302">
        <f>ZoneInondable2022!G221</f>
        <v>36.386077999999998</v>
      </c>
      <c r="L205" s="302">
        <f>ZoneInondable2022!G487</f>
        <v>61.521225000000001</v>
      </c>
      <c r="M205" s="302">
        <f>ZoneInondable2022!G543</f>
        <v>90.785126000000005</v>
      </c>
      <c r="N205" s="76"/>
      <c r="O205" s="76"/>
      <c r="P205" s="76"/>
      <c r="Q205" s="76">
        <f t="shared" si="34"/>
        <v>188.692429</v>
      </c>
      <c r="R205" s="77">
        <f t="shared" si="32"/>
        <v>0.11746600991560539</v>
      </c>
      <c r="S205" s="324">
        <v>0.11893434751342227</v>
      </c>
      <c r="T205" s="105">
        <v>0</v>
      </c>
      <c r="U205" s="76">
        <v>0</v>
      </c>
      <c r="V205" s="106">
        <v>0</v>
      </c>
      <c r="W205" s="106">
        <v>37.345394299999981</v>
      </c>
      <c r="X205" s="106">
        <v>62.337775300000004</v>
      </c>
      <c r="Y205" s="106">
        <v>91.3679348</v>
      </c>
      <c r="Z205" s="106"/>
      <c r="AA205" s="106"/>
      <c r="AB205" s="164">
        <f t="shared" si="35"/>
        <v>191.05110439999999</v>
      </c>
      <c r="AC205" s="216">
        <f t="shared" si="33"/>
        <v>0.11893434751342227</v>
      </c>
    </row>
    <row r="206" spans="1:33" s="153" customFormat="1" x14ac:dyDescent="0.25">
      <c r="A206" s="150">
        <v>206</v>
      </c>
      <c r="B206" s="139">
        <v>30208</v>
      </c>
      <c r="C206" s="140" t="s">
        <v>800</v>
      </c>
      <c r="D206" s="141" t="s">
        <v>755</v>
      </c>
      <c r="E206" s="137"/>
      <c r="F206" s="142">
        <f>7870634.28222656/10000</f>
        <v>787.06342822265594</v>
      </c>
      <c r="G206" s="143" t="s">
        <v>778</v>
      </c>
      <c r="H206" s="144">
        <f>T206/10000</f>
        <v>0</v>
      </c>
      <c r="I206" s="144">
        <v>0</v>
      </c>
      <c r="J206" s="144">
        <f t="shared" si="36"/>
        <v>0</v>
      </c>
      <c r="K206" s="144">
        <f>W206/10000</f>
        <v>0</v>
      </c>
      <c r="L206" s="144">
        <f>X206/10000</f>
        <v>0</v>
      </c>
      <c r="M206" s="144">
        <f>Y206/10000</f>
        <v>0</v>
      </c>
      <c r="N206" s="144"/>
      <c r="O206" s="144"/>
      <c r="P206" s="144"/>
      <c r="Q206" s="144">
        <f t="shared" si="34"/>
        <v>0</v>
      </c>
      <c r="R206" s="145">
        <f t="shared" si="32"/>
        <v>0</v>
      </c>
      <c r="S206" s="324">
        <v>0</v>
      </c>
      <c r="T206" s="151">
        <v>0</v>
      </c>
      <c r="U206" s="144">
        <v>0</v>
      </c>
      <c r="V206" s="152">
        <v>0</v>
      </c>
      <c r="W206" s="152">
        <v>0</v>
      </c>
      <c r="X206" s="152">
        <v>0</v>
      </c>
      <c r="Y206" s="152">
        <v>0</v>
      </c>
      <c r="Z206" s="152"/>
      <c r="AA206" s="152"/>
      <c r="AB206" s="162">
        <f t="shared" si="35"/>
        <v>0</v>
      </c>
      <c r="AC206" s="216">
        <f t="shared" si="33"/>
        <v>0</v>
      </c>
    </row>
    <row r="207" spans="1:33" s="81" customFormat="1" ht="18.75" customHeight="1" x14ac:dyDescent="0.25">
      <c r="A207" s="70">
        <v>207</v>
      </c>
      <c r="B207" s="71">
        <v>30209</v>
      </c>
      <c r="C207" s="72" t="s">
        <v>334</v>
      </c>
      <c r="D207" s="84" t="s">
        <v>767</v>
      </c>
      <c r="E207" s="69"/>
      <c r="F207" s="74">
        <f>23715861.399414/10000</f>
        <v>2371.5861399413998</v>
      </c>
      <c r="G207" s="75" t="s">
        <v>11</v>
      </c>
      <c r="H207" s="76">
        <v>0</v>
      </c>
      <c r="I207" s="76">
        <v>0</v>
      </c>
      <c r="J207" s="76">
        <f t="shared" si="36"/>
        <v>0</v>
      </c>
      <c r="K207" s="302">
        <f>ZoneInondable2022!G202</f>
        <v>855.67899999999997</v>
      </c>
      <c r="L207" s="302">
        <f>ZoneInondable2022!G425</f>
        <v>211.37306000000001</v>
      </c>
      <c r="M207" s="302">
        <f>ZoneInondable2022!G836</f>
        <v>144.06855999999999</v>
      </c>
      <c r="N207" s="76"/>
      <c r="O207" s="76"/>
      <c r="P207" s="76"/>
      <c r="Q207" s="185">
        <f t="shared" si="34"/>
        <v>1211.1206199999999</v>
      </c>
      <c r="R207" s="201">
        <f t="shared" si="32"/>
        <v>0.51067958258093293</v>
      </c>
      <c r="S207" s="324">
        <v>0.59374553379486084</v>
      </c>
      <c r="T207" s="78">
        <v>0</v>
      </c>
      <c r="U207" s="79">
        <v>0</v>
      </c>
      <c r="V207" s="80">
        <v>0</v>
      </c>
      <c r="W207" s="80">
        <v>866.4339834000001</v>
      </c>
      <c r="X207" s="80">
        <v>249.7373528</v>
      </c>
      <c r="Y207" s="80">
        <v>95.8901903</v>
      </c>
      <c r="Z207" s="80">
        <v>196.0571521</v>
      </c>
      <c r="AA207" s="80"/>
      <c r="AB207" s="164">
        <f t="shared" si="35"/>
        <v>1408.1186786000001</v>
      </c>
      <c r="AC207" s="216">
        <f t="shared" si="33"/>
        <v>0.59374553379486084</v>
      </c>
    </row>
    <row r="208" spans="1:33" s="28" customFormat="1" x14ac:dyDescent="0.25">
      <c r="A208" s="17">
        <v>208</v>
      </c>
      <c r="B208" s="18">
        <v>30210</v>
      </c>
      <c r="C208" s="19" t="s">
        <v>66</v>
      </c>
      <c r="D208" s="20" t="s">
        <v>755</v>
      </c>
      <c r="E208" s="21"/>
      <c r="F208" s="22">
        <f>23225255.5839843/10000</f>
        <v>2322.5255583984299</v>
      </c>
      <c r="G208" s="23" t="s">
        <v>761</v>
      </c>
      <c r="H208" s="302">
        <f>ZoneInondable2022!G25</f>
        <v>324.39852999999999</v>
      </c>
      <c r="I208" s="302">
        <f>ZoneInondable2022!G783</f>
        <v>9.3731089999999995</v>
      </c>
      <c r="J208" s="24">
        <f t="shared" si="36"/>
        <v>0</v>
      </c>
      <c r="K208" s="24">
        <f>W208/10000</f>
        <v>0</v>
      </c>
      <c r="L208" s="24">
        <f>X208/10000</f>
        <v>0</v>
      </c>
      <c r="M208" s="24">
        <f>Y208/10000</f>
        <v>0</v>
      </c>
      <c r="N208" s="24"/>
      <c r="O208" s="24"/>
      <c r="P208" s="24"/>
      <c r="Q208" s="24">
        <f t="shared" si="34"/>
        <v>333.77163899999999</v>
      </c>
      <c r="R208" s="85">
        <f t="shared" si="32"/>
        <v>0.14371064197466255</v>
      </c>
      <c r="S208" s="324">
        <v>0.14493100599307815</v>
      </c>
      <c r="T208" s="25">
        <v>327.524553502</v>
      </c>
      <c r="U208" s="26">
        <v>9.0814121213199996</v>
      </c>
      <c r="V208" s="27">
        <v>0</v>
      </c>
      <c r="W208" s="27">
        <v>0</v>
      </c>
      <c r="X208" s="27">
        <v>0</v>
      </c>
      <c r="Y208" s="27">
        <v>0</v>
      </c>
      <c r="Z208" s="27"/>
      <c r="AA208" s="27"/>
      <c r="AB208" s="160">
        <f t="shared" si="35"/>
        <v>336.60596562332</v>
      </c>
      <c r="AC208" s="216">
        <f t="shared" si="33"/>
        <v>0.14493100599307815</v>
      </c>
    </row>
    <row r="209" spans="1:29" s="81" customFormat="1" x14ac:dyDescent="0.25">
      <c r="A209" s="70">
        <v>209</v>
      </c>
      <c r="B209" s="71">
        <v>30211</v>
      </c>
      <c r="C209" s="72" t="s">
        <v>230</v>
      </c>
      <c r="D209" s="84" t="s">
        <v>758</v>
      </c>
      <c r="E209" s="69"/>
      <c r="F209" s="74">
        <f>15599836.8388671/10000</f>
        <v>1559.98368388671</v>
      </c>
      <c r="G209" s="75" t="s">
        <v>11</v>
      </c>
      <c r="H209" s="76">
        <v>0</v>
      </c>
      <c r="I209" s="76">
        <v>0</v>
      </c>
      <c r="J209" s="76">
        <f t="shared" si="36"/>
        <v>0</v>
      </c>
      <c r="K209" s="302">
        <f>ZoneInondable2022!G292</f>
        <v>67.127700000000004</v>
      </c>
      <c r="L209" s="302">
        <f>ZoneInondable2022!G197</f>
        <v>94.913794999999993</v>
      </c>
      <c r="M209" s="302">
        <f>ZoneInondable2022!G119</f>
        <v>83.559399999999997</v>
      </c>
      <c r="N209" s="76"/>
      <c r="O209" s="76"/>
      <c r="P209" s="76"/>
      <c r="Q209" s="76">
        <f t="shared" si="34"/>
        <v>245.60089499999998</v>
      </c>
      <c r="R209" s="77">
        <f t="shared" si="32"/>
        <v>0.15743811780651684</v>
      </c>
      <c r="S209" s="324">
        <v>0.15480295347051626</v>
      </c>
      <c r="T209" s="78">
        <v>0</v>
      </c>
      <c r="U209" s="79">
        <v>0</v>
      </c>
      <c r="V209" s="80">
        <v>0</v>
      </c>
      <c r="W209" s="80">
        <v>66.068650745799999</v>
      </c>
      <c r="X209" s="80">
        <v>92.832244601478905</v>
      </c>
      <c r="Y209" s="80">
        <v>82.589186284199997</v>
      </c>
      <c r="Z209" s="80"/>
      <c r="AA209" s="80"/>
      <c r="AB209" s="164">
        <f t="shared" si="35"/>
        <v>241.49008163147889</v>
      </c>
      <c r="AC209" s="216">
        <f t="shared" si="33"/>
        <v>0.15480295347051626</v>
      </c>
    </row>
    <row r="210" spans="1:29" s="81" customFormat="1" ht="18" customHeight="1" x14ac:dyDescent="0.25">
      <c r="A210" s="70">
        <v>210</v>
      </c>
      <c r="B210" s="71">
        <v>30212</v>
      </c>
      <c r="C210" s="72" t="s">
        <v>421</v>
      </c>
      <c r="D210" s="84" t="s">
        <v>754</v>
      </c>
      <c r="E210" s="69"/>
      <c r="F210" s="74">
        <f>8301844.94091796/10000</f>
        <v>830.18449409179607</v>
      </c>
      <c r="G210" s="75" t="s">
        <v>11</v>
      </c>
      <c r="H210" s="76">
        <v>0</v>
      </c>
      <c r="I210" s="76">
        <v>0</v>
      </c>
      <c r="J210" s="76">
        <f t="shared" si="36"/>
        <v>0</v>
      </c>
      <c r="K210" s="302">
        <f>ZoneInondable2022!G338</f>
        <v>499.98480000000001</v>
      </c>
      <c r="L210" s="302">
        <f>ZoneInondable2022!G267</f>
        <v>74.959199999999996</v>
      </c>
      <c r="M210" s="302">
        <f>ZoneInondable2022!G319</f>
        <v>72.589709999999997</v>
      </c>
      <c r="N210" s="76"/>
      <c r="O210" s="76"/>
      <c r="P210" s="76"/>
      <c r="Q210" s="76">
        <f t="shared" si="34"/>
        <v>647.53370999999993</v>
      </c>
      <c r="R210" s="77">
        <f t="shared" si="32"/>
        <v>0.77998771912547926</v>
      </c>
      <c r="S210" s="324">
        <v>0.78291628345943476</v>
      </c>
      <c r="T210" s="78">
        <v>0</v>
      </c>
      <c r="U210" s="79">
        <v>0</v>
      </c>
      <c r="V210" s="80">
        <v>0</v>
      </c>
      <c r="W210" s="80">
        <v>501.94387460000002</v>
      </c>
      <c r="X210" s="80">
        <v>75.2114653</v>
      </c>
      <c r="Y210" s="80">
        <v>72.809618799999996</v>
      </c>
      <c r="Z210" s="80"/>
      <c r="AA210" s="80"/>
      <c r="AB210" s="164">
        <f t="shared" si="35"/>
        <v>649.96495870000001</v>
      </c>
      <c r="AC210" s="216">
        <f t="shared" si="33"/>
        <v>0.78291628345943476</v>
      </c>
    </row>
    <row r="211" spans="1:29" s="28" customFormat="1" x14ac:dyDescent="0.25">
      <c r="A211" s="17">
        <v>211</v>
      </c>
      <c r="B211" s="18">
        <v>30213</v>
      </c>
      <c r="C211" s="19" t="s">
        <v>598</v>
      </c>
      <c r="D211" s="20" t="s">
        <v>785</v>
      </c>
      <c r="E211" s="21"/>
      <c r="F211" s="22">
        <f>13955740.2304687/10000</f>
        <v>1395.57402304687</v>
      </c>
      <c r="G211" s="23" t="s">
        <v>761</v>
      </c>
      <c r="H211" s="302">
        <f>ZoneInondable2022!G594</f>
        <v>8.3119139999999998</v>
      </c>
      <c r="I211" s="24">
        <v>0</v>
      </c>
      <c r="J211" s="24">
        <f t="shared" si="36"/>
        <v>0</v>
      </c>
      <c r="K211" s="24">
        <f>W211/10000</f>
        <v>0</v>
      </c>
      <c r="L211" s="24">
        <f>X211/10000</f>
        <v>0</v>
      </c>
      <c r="M211" s="24">
        <f>Y211/10000</f>
        <v>0</v>
      </c>
      <c r="N211" s="24"/>
      <c r="O211" s="24"/>
      <c r="P211" s="24"/>
      <c r="Q211" s="24">
        <f t="shared" si="34"/>
        <v>8.3119139999999998</v>
      </c>
      <c r="R211" s="85">
        <f t="shared" si="32"/>
        <v>5.9559105161997175E-3</v>
      </c>
      <c r="S211" s="324">
        <v>9.93265592658173E-3</v>
      </c>
      <c r="T211" s="25">
        <v>13.861756591000001</v>
      </c>
      <c r="U211" s="26">
        <v>0</v>
      </c>
      <c r="V211" s="27">
        <v>0</v>
      </c>
      <c r="W211" s="27">
        <v>0</v>
      </c>
      <c r="X211" s="27">
        <v>0</v>
      </c>
      <c r="Y211" s="27">
        <v>0</v>
      </c>
      <c r="Z211" s="27"/>
      <c r="AA211" s="27"/>
      <c r="AB211" s="160">
        <f t="shared" si="35"/>
        <v>13.861756591000001</v>
      </c>
      <c r="AC211" s="216">
        <f t="shared" si="33"/>
        <v>9.93265592658173E-3</v>
      </c>
    </row>
    <row r="212" spans="1:29" s="199" customFormat="1" ht="26.25" x14ac:dyDescent="0.25">
      <c r="A212" s="186">
        <v>212</v>
      </c>
      <c r="B212" s="187">
        <v>30214</v>
      </c>
      <c r="C212" s="188" t="s">
        <v>94</v>
      </c>
      <c r="D212" s="189" t="s">
        <v>754</v>
      </c>
      <c r="E212" s="190"/>
      <c r="F212" s="191">
        <f>14261128.6123046/10000</f>
        <v>1426.1128612304599</v>
      </c>
      <c r="G212" s="192" t="s">
        <v>781</v>
      </c>
      <c r="H212" s="36">
        <f>5647603/10000-K212-L212-M212</f>
        <v>291.83551400000005</v>
      </c>
      <c r="I212" s="193">
        <v>0</v>
      </c>
      <c r="J212" s="193">
        <f t="shared" si="36"/>
        <v>0</v>
      </c>
      <c r="K212" s="302">
        <f>ZoneInondable2022!G40</f>
        <v>197.45017999999999</v>
      </c>
      <c r="L212" s="302">
        <f>ZoneInondable2022!G173</f>
        <v>16.298962</v>
      </c>
      <c r="M212" s="302">
        <f>ZoneInondable2022!G764</f>
        <v>59.175643999999998</v>
      </c>
      <c r="N212" s="193"/>
      <c r="O212" s="193"/>
      <c r="P212" s="193"/>
      <c r="Q212" s="193">
        <f t="shared" si="34"/>
        <v>564.76030000000003</v>
      </c>
      <c r="R212" s="194">
        <f t="shared" si="32"/>
        <v>0.39601374852809407</v>
      </c>
      <c r="S212" s="324">
        <v>0.39600872668692005</v>
      </c>
      <c r="T212" s="195">
        <v>281.59965436409698</v>
      </c>
      <c r="U212" s="196">
        <v>0</v>
      </c>
      <c r="V212" s="197">
        <v>0</v>
      </c>
      <c r="W212" s="197">
        <v>205.229470473362</v>
      </c>
      <c r="X212" s="197">
        <v>17.675504987659099</v>
      </c>
      <c r="Y212" s="197">
        <v>60.248508462596604</v>
      </c>
      <c r="Z212" s="197"/>
      <c r="AA212" s="197"/>
      <c r="AB212" s="198">
        <f t="shared" si="35"/>
        <v>564.75313828771471</v>
      </c>
      <c r="AC212" s="216">
        <f t="shared" si="33"/>
        <v>0.39600872668692005</v>
      </c>
    </row>
    <row r="213" spans="1:29" s="81" customFormat="1" x14ac:dyDescent="0.25">
      <c r="A213" s="70">
        <v>213</v>
      </c>
      <c r="B213" s="71">
        <v>30215</v>
      </c>
      <c r="C213" s="72" t="s">
        <v>578</v>
      </c>
      <c r="D213" s="84" t="s">
        <v>765</v>
      </c>
      <c r="E213" s="69"/>
      <c r="F213" s="74">
        <f>9675594.33105468/10000</f>
        <v>967.55943310546797</v>
      </c>
      <c r="G213" s="75" t="s">
        <v>11</v>
      </c>
      <c r="H213" s="76">
        <v>0</v>
      </c>
      <c r="I213" s="76">
        <v>0</v>
      </c>
      <c r="J213" s="76">
        <f t="shared" si="36"/>
        <v>0</v>
      </c>
      <c r="K213" s="302">
        <f>ZoneInondable2022!G703</f>
        <v>167.80260000000001</v>
      </c>
      <c r="L213" s="302">
        <f>ZoneInondable2022!G540</f>
        <v>3.0660202999999999</v>
      </c>
      <c r="M213" s="302">
        <f>ZoneInondable2022!G648</f>
        <v>6.1439066000000002</v>
      </c>
      <c r="N213" s="76"/>
      <c r="O213" s="76"/>
      <c r="P213" s="76"/>
      <c r="Q213" s="76">
        <f t="shared" si="34"/>
        <v>177.01252690000001</v>
      </c>
      <c r="R213" s="77">
        <f t="shared" si="32"/>
        <v>0.18294744575210495</v>
      </c>
      <c r="S213" s="324">
        <v>0.18536754168069317</v>
      </c>
      <c r="T213" s="78">
        <v>0</v>
      </c>
      <c r="U213" s="79">
        <v>0</v>
      </c>
      <c r="V213" s="80">
        <v>0</v>
      </c>
      <c r="W213" s="80">
        <v>170.25855002896</v>
      </c>
      <c r="X213" s="80">
        <v>3.0519124947356997</v>
      </c>
      <c r="Y213" s="80">
        <v>6.0436510210300005</v>
      </c>
      <c r="Z213" s="80"/>
      <c r="AA213" s="80"/>
      <c r="AB213" s="164">
        <f t="shared" si="35"/>
        <v>179.35411354472569</v>
      </c>
      <c r="AC213" s="216">
        <f t="shared" si="33"/>
        <v>0.18536754168069317</v>
      </c>
    </row>
    <row r="214" spans="1:29" s="81" customFormat="1" ht="26.25" x14ac:dyDescent="0.25">
      <c r="A214" s="70">
        <v>214</v>
      </c>
      <c r="B214" s="71">
        <v>30216</v>
      </c>
      <c r="C214" s="72" t="s">
        <v>378</v>
      </c>
      <c r="D214" s="84" t="s">
        <v>765</v>
      </c>
      <c r="E214" s="69"/>
      <c r="F214" s="74">
        <f>10545940.6586914/10000</f>
        <v>1054.59406586914</v>
      </c>
      <c r="G214" s="75" t="s">
        <v>11</v>
      </c>
      <c r="H214" s="76">
        <v>0</v>
      </c>
      <c r="I214" s="76">
        <v>0</v>
      </c>
      <c r="J214" s="76">
        <f t="shared" si="36"/>
        <v>0</v>
      </c>
      <c r="K214" s="302">
        <f>ZoneInondable2022!G235</f>
        <v>39.959045000000003</v>
      </c>
      <c r="L214" s="302">
        <f>ZoneInondable2022!G587</f>
        <v>2.1334333000000001</v>
      </c>
      <c r="M214" s="302">
        <f>ZoneInondable2022!G527</f>
        <v>27.990279999999998</v>
      </c>
      <c r="N214" s="76"/>
      <c r="O214" s="76"/>
      <c r="P214" s="76"/>
      <c r="Q214" s="76">
        <f t="shared" si="34"/>
        <v>70.082758299999995</v>
      </c>
      <c r="R214" s="77">
        <f t="shared" si="32"/>
        <v>6.6454724683323085E-2</v>
      </c>
      <c r="S214" s="324">
        <v>6.8157481108364337E-2</v>
      </c>
      <c r="T214" s="78">
        <v>0</v>
      </c>
      <c r="U214" s="79">
        <v>0</v>
      </c>
      <c r="V214" s="80">
        <v>0</v>
      </c>
      <c r="W214" s="80">
        <v>41.7627680090132</v>
      </c>
      <c r="X214" s="80">
        <v>2.1309215873558403</v>
      </c>
      <c r="Y214" s="80">
        <v>27.984785525099998</v>
      </c>
      <c r="Z214" s="80"/>
      <c r="AA214" s="80"/>
      <c r="AB214" s="164">
        <f t="shared" si="35"/>
        <v>71.878475121469037</v>
      </c>
      <c r="AC214" s="216">
        <f t="shared" si="33"/>
        <v>6.8157481108364337E-2</v>
      </c>
    </row>
    <row r="215" spans="1:29" s="28" customFormat="1" ht="26.25" x14ac:dyDescent="0.25">
      <c r="A215" s="17">
        <v>215</v>
      </c>
      <c r="B215" s="18">
        <v>30217</v>
      </c>
      <c r="C215" s="19" t="s">
        <v>801</v>
      </c>
      <c r="D215" s="20" t="s">
        <v>773</v>
      </c>
      <c r="E215" s="21"/>
      <c r="F215" s="22">
        <f>34244035.4912109/10000</f>
        <v>3424.4035491210902</v>
      </c>
      <c r="G215" s="23" t="s">
        <v>761</v>
      </c>
      <c r="H215" s="302">
        <f>ZoneInondable2022!G598</f>
        <v>576.38310000000001</v>
      </c>
      <c r="I215" s="302">
        <f>ZoneInondable2022!G863</f>
        <v>229.42159000000001</v>
      </c>
      <c r="J215" s="24">
        <f t="shared" si="36"/>
        <v>0</v>
      </c>
      <c r="K215" s="24">
        <v>0</v>
      </c>
      <c r="L215" s="24">
        <v>0</v>
      </c>
      <c r="M215" s="24">
        <v>0</v>
      </c>
      <c r="N215" s="24"/>
      <c r="O215" s="24"/>
      <c r="P215" s="24"/>
      <c r="Q215" s="24">
        <f t="shared" si="34"/>
        <v>805.80469000000005</v>
      </c>
      <c r="R215" s="85">
        <f t="shared" si="32"/>
        <v>0.23531242110960271</v>
      </c>
      <c r="S215" s="324">
        <v>0.23873907765305</v>
      </c>
      <c r="T215" s="25">
        <v>584.66897493500005</v>
      </c>
      <c r="U215" s="26">
        <v>232.86996989400001</v>
      </c>
      <c r="V215" s="27">
        <v>0</v>
      </c>
      <c r="W215" s="27">
        <v>0</v>
      </c>
      <c r="X215" s="27">
        <v>0</v>
      </c>
      <c r="Y215" s="27">
        <v>0</v>
      </c>
      <c r="Z215" s="27"/>
      <c r="AA215" s="27"/>
      <c r="AB215" s="160">
        <f t="shared" si="35"/>
        <v>817.538944829</v>
      </c>
      <c r="AC215" s="216">
        <f t="shared" si="33"/>
        <v>0.23873907765305</v>
      </c>
    </row>
    <row r="216" spans="1:29" s="81" customFormat="1" x14ac:dyDescent="0.25">
      <c r="A216" s="70">
        <v>216</v>
      </c>
      <c r="B216" s="71">
        <v>30218</v>
      </c>
      <c r="C216" s="72" t="s">
        <v>570</v>
      </c>
      <c r="D216" s="84" t="s">
        <v>765</v>
      </c>
      <c r="E216" s="69"/>
      <c r="F216" s="74">
        <f>12127611.3916015/10000</f>
        <v>1212.7611391601499</v>
      </c>
      <c r="G216" s="75" t="s">
        <v>11</v>
      </c>
      <c r="H216" s="76">
        <v>0</v>
      </c>
      <c r="I216" s="76">
        <v>0</v>
      </c>
      <c r="J216" s="76">
        <f t="shared" si="36"/>
        <v>0</v>
      </c>
      <c r="K216" s="302">
        <f>ZoneInondable2022!G501</f>
        <v>269.55005</v>
      </c>
      <c r="L216" s="302">
        <f>ZoneInondable2022!G849</f>
        <v>7.1943282999999996</v>
      </c>
      <c r="M216" s="302">
        <f>ZoneInondable2022!G685</f>
        <v>9.8498920000000005</v>
      </c>
      <c r="N216" s="76"/>
      <c r="O216" s="76"/>
      <c r="P216" s="76"/>
      <c r="Q216" s="76">
        <f t="shared" si="34"/>
        <v>286.59427030000001</v>
      </c>
      <c r="R216" s="77">
        <f t="shared" si="32"/>
        <v>0.23631551263134107</v>
      </c>
      <c r="S216" s="324">
        <v>0.23181428465436218</v>
      </c>
      <c r="T216" s="78">
        <v>0</v>
      </c>
      <c r="U216" s="79">
        <v>0</v>
      </c>
      <c r="V216" s="80">
        <v>0</v>
      </c>
      <c r="W216" s="80">
        <v>264.01990809579598</v>
      </c>
      <c r="X216" s="80">
        <v>7.1462541975035405</v>
      </c>
      <c r="Y216" s="80">
        <v>9.9691936377200001</v>
      </c>
      <c r="Z216" s="80"/>
      <c r="AA216" s="80"/>
      <c r="AB216" s="164">
        <f t="shared" si="35"/>
        <v>281.13535593101955</v>
      </c>
      <c r="AC216" s="216">
        <f t="shared" si="33"/>
        <v>0.23181428465436218</v>
      </c>
    </row>
    <row r="217" spans="1:29" s="81" customFormat="1" x14ac:dyDescent="0.25">
      <c r="A217" s="70">
        <v>217</v>
      </c>
      <c r="B217" s="71">
        <v>30356</v>
      </c>
      <c r="C217" s="72" t="s">
        <v>324</v>
      </c>
      <c r="D217" s="84" t="s">
        <v>758</v>
      </c>
      <c r="E217" s="69"/>
      <c r="F217" s="74">
        <f>4677721.98193359/10000</f>
        <v>467.77219819335897</v>
      </c>
      <c r="G217" s="75" t="s">
        <v>11</v>
      </c>
      <c r="H217" s="76">
        <v>0</v>
      </c>
      <c r="I217" s="76">
        <v>0</v>
      </c>
      <c r="J217" s="302">
        <f>ZoneInondable2022!G379</f>
        <v>6.2635249999999998E-3</v>
      </c>
      <c r="K217" s="302">
        <f>ZoneInondable2022!G194</f>
        <v>103.128654</v>
      </c>
      <c r="L217" s="302">
        <f>ZoneInondable2022!G780</f>
        <v>93.335840000000005</v>
      </c>
      <c r="M217" s="302">
        <f>ZoneInondable2022!G303</f>
        <v>85.784360000000007</v>
      </c>
      <c r="N217" s="76"/>
      <c r="O217" s="76"/>
      <c r="P217" s="76"/>
      <c r="Q217" s="76">
        <f t="shared" si="34"/>
        <v>282.255117525</v>
      </c>
      <c r="R217" s="77">
        <f t="shared" si="32"/>
        <v>0.60340293547827872</v>
      </c>
      <c r="S217" s="324">
        <v>0.58602488110696915</v>
      </c>
      <c r="T217" s="78">
        <v>0</v>
      </c>
      <c r="U217" s="79">
        <v>0</v>
      </c>
      <c r="V217" s="80">
        <v>0</v>
      </c>
      <c r="W217" s="80">
        <v>103.62247996655199</v>
      </c>
      <c r="X217" s="80">
        <v>92.3046573196103</v>
      </c>
      <c r="Y217" s="80">
        <v>78.199009545246497</v>
      </c>
      <c r="Z217" s="80"/>
      <c r="AA217" s="80"/>
      <c r="AB217" s="164">
        <f t="shared" si="35"/>
        <v>274.12614683140879</v>
      </c>
      <c r="AC217" s="216">
        <f t="shared" si="33"/>
        <v>0.58602488110696915</v>
      </c>
    </row>
    <row r="218" spans="1:29" s="28" customFormat="1" x14ac:dyDescent="0.25">
      <c r="A218" s="17">
        <v>218</v>
      </c>
      <c r="B218" s="18">
        <v>30219</v>
      </c>
      <c r="C218" s="19" t="s">
        <v>441</v>
      </c>
      <c r="D218" s="20" t="s">
        <v>766</v>
      </c>
      <c r="E218" s="21"/>
      <c r="F218" s="22">
        <f>30682345.6967773/10000</f>
        <v>3068.2345696777297</v>
      </c>
      <c r="G218" s="23" t="s">
        <v>761</v>
      </c>
      <c r="H218" s="302">
        <f>ZoneInondable2022!G291</f>
        <v>41.006557000000001</v>
      </c>
      <c r="I218" s="24">
        <v>0</v>
      </c>
      <c r="J218" s="24">
        <f t="shared" ref="J218:J249" si="37">V218/10000</f>
        <v>0</v>
      </c>
      <c r="K218" s="24">
        <v>0</v>
      </c>
      <c r="L218" s="24">
        <v>0</v>
      </c>
      <c r="M218" s="24">
        <v>0</v>
      </c>
      <c r="N218" s="24"/>
      <c r="O218" s="24"/>
      <c r="P218" s="24"/>
      <c r="Q218" s="24">
        <f t="shared" si="34"/>
        <v>41.006557000000001</v>
      </c>
      <c r="R218" s="85">
        <f t="shared" si="32"/>
        <v>1.3364870275973424E-2</v>
      </c>
      <c r="S218" s="324">
        <v>1.0760066640950352E-2</v>
      </c>
      <c r="T218" s="25">
        <v>33.0144084398</v>
      </c>
      <c r="U218" s="26">
        <v>0</v>
      </c>
      <c r="V218" s="27">
        <v>0</v>
      </c>
      <c r="W218" s="27">
        <v>0</v>
      </c>
      <c r="X218" s="27">
        <v>0</v>
      </c>
      <c r="Y218" s="27">
        <v>0</v>
      </c>
      <c r="Z218" s="27"/>
      <c r="AA218" s="27"/>
      <c r="AB218" s="160">
        <f t="shared" si="35"/>
        <v>33.0144084398</v>
      </c>
      <c r="AC218" s="216">
        <f t="shared" si="33"/>
        <v>1.0760066640950352E-2</v>
      </c>
    </row>
    <row r="219" spans="1:29" s="81" customFormat="1" ht="26.25" x14ac:dyDescent="0.25">
      <c r="A219" s="70">
        <v>219</v>
      </c>
      <c r="B219" s="71">
        <v>30222</v>
      </c>
      <c r="C219" s="72" t="s">
        <v>646</v>
      </c>
      <c r="D219" s="84" t="s">
        <v>765</v>
      </c>
      <c r="E219" s="69"/>
      <c r="F219" s="74">
        <f>8394740.3203125/10000</f>
        <v>839.47403203124998</v>
      </c>
      <c r="G219" s="75" t="s">
        <v>11</v>
      </c>
      <c r="H219" s="76">
        <v>0</v>
      </c>
      <c r="I219" s="76">
        <v>0</v>
      </c>
      <c r="J219" s="76">
        <f t="shared" si="37"/>
        <v>0</v>
      </c>
      <c r="K219" s="302">
        <f>ZoneInondable2022!G860</f>
        <v>168.16693000000001</v>
      </c>
      <c r="L219" s="302">
        <f>ZoneInondable2022!G663</f>
        <v>10.588285000000001</v>
      </c>
      <c r="M219" s="302">
        <f>ZoneInondable2022!G733</f>
        <v>17.855384999999998</v>
      </c>
      <c r="N219" s="76"/>
      <c r="O219" s="76"/>
      <c r="P219" s="76"/>
      <c r="Q219" s="76">
        <f t="shared" si="34"/>
        <v>196.61060000000003</v>
      </c>
      <c r="R219" s="77">
        <f t="shared" si="32"/>
        <v>0.23420688728663505</v>
      </c>
      <c r="S219" s="324">
        <v>0.23234582481195104</v>
      </c>
      <c r="T219" s="78">
        <v>0</v>
      </c>
      <c r="U219" s="79">
        <v>0</v>
      </c>
      <c r="V219" s="80">
        <v>0</v>
      </c>
      <c r="W219" s="80">
        <v>166.713243655415</v>
      </c>
      <c r="X219" s="80">
        <v>10.536599444</v>
      </c>
      <c r="Y219" s="80">
        <v>17.798443281099999</v>
      </c>
      <c r="Z219" s="80"/>
      <c r="AA219" s="80"/>
      <c r="AB219" s="164">
        <f t="shared" si="35"/>
        <v>195.04828638051498</v>
      </c>
      <c r="AC219" s="216">
        <f t="shared" si="33"/>
        <v>0.23234582481195104</v>
      </c>
    </row>
    <row r="220" spans="1:29" s="28" customFormat="1" ht="24" customHeight="1" x14ac:dyDescent="0.25">
      <c r="A220" s="17">
        <v>220</v>
      </c>
      <c r="B220" s="18">
        <v>30220</v>
      </c>
      <c r="C220" s="19" t="s">
        <v>680</v>
      </c>
      <c r="D220" s="20" t="s">
        <v>766</v>
      </c>
      <c r="E220" s="21"/>
      <c r="F220" s="22">
        <f>11004891.2749023/10000</f>
        <v>1100.4891274902302</v>
      </c>
      <c r="G220" s="23" t="s">
        <v>761</v>
      </c>
      <c r="H220" s="302">
        <f>ZoneInondable2022!G732</f>
        <v>27.914857999999999</v>
      </c>
      <c r="I220" s="24">
        <v>0</v>
      </c>
      <c r="J220" s="24">
        <f t="shared" si="37"/>
        <v>0</v>
      </c>
      <c r="K220" s="24">
        <v>0</v>
      </c>
      <c r="L220" s="24">
        <v>0</v>
      </c>
      <c r="M220" s="24">
        <v>0</v>
      </c>
      <c r="N220" s="24"/>
      <c r="O220" s="24"/>
      <c r="P220" s="24"/>
      <c r="Q220" s="24">
        <f t="shared" si="34"/>
        <v>27.914857999999999</v>
      </c>
      <c r="R220" s="85">
        <f t="shared" si="32"/>
        <v>2.5365864416727568E-2</v>
      </c>
      <c r="S220" s="324">
        <v>2.9263135482350232E-2</v>
      </c>
      <c r="T220" s="25">
        <v>32.203762434600002</v>
      </c>
      <c r="U220" s="26">
        <v>0</v>
      </c>
      <c r="V220" s="27">
        <v>0</v>
      </c>
      <c r="W220" s="27">
        <v>0</v>
      </c>
      <c r="X220" s="27">
        <v>0</v>
      </c>
      <c r="Y220" s="27">
        <v>0</v>
      </c>
      <c r="Z220" s="27"/>
      <c r="AA220" s="27"/>
      <c r="AB220" s="160">
        <f t="shared" si="35"/>
        <v>32.203762434600002</v>
      </c>
      <c r="AC220" s="216">
        <f t="shared" si="33"/>
        <v>2.9263135482350232E-2</v>
      </c>
    </row>
    <row r="221" spans="1:29" s="182" customFormat="1" ht="26.25" x14ac:dyDescent="0.25">
      <c r="A221" s="169">
        <v>221</v>
      </c>
      <c r="B221" s="170">
        <v>30221</v>
      </c>
      <c r="C221" s="171" t="s">
        <v>74</v>
      </c>
      <c r="D221" s="172" t="s">
        <v>773</v>
      </c>
      <c r="E221" s="173"/>
      <c r="F221" s="174">
        <f>26149042.9648437/10000</f>
        <v>2614.9042964843702</v>
      </c>
      <c r="G221" s="175" t="s">
        <v>788</v>
      </c>
      <c r="H221" s="302">
        <f>ZoneInondable2022!G683</f>
        <v>1073.4211</v>
      </c>
      <c r="I221" s="302">
        <f>ZoneInondable2022!G857</f>
        <v>122.86176</v>
      </c>
      <c r="J221" s="176">
        <f t="shared" si="37"/>
        <v>0</v>
      </c>
      <c r="K221" s="302">
        <f>ZoneInondable2022!G741</f>
        <v>5.0547134000000001E-2</v>
      </c>
      <c r="L221" s="302">
        <f>ZoneInondable2022!G30</f>
        <v>7.93302</v>
      </c>
      <c r="M221" s="176">
        <v>0</v>
      </c>
      <c r="N221" s="176"/>
      <c r="O221" s="176"/>
      <c r="P221" s="176"/>
      <c r="Q221" s="176">
        <f t="shared" si="34"/>
        <v>1204.266427134</v>
      </c>
      <c r="R221" s="177">
        <f t="shared" si="32"/>
        <v>0.46053938905262648</v>
      </c>
      <c r="S221" s="324">
        <v>0.45686407205826651</v>
      </c>
      <c r="T221" s="178">
        <v>1063.0784565199999</v>
      </c>
      <c r="U221" s="179">
        <v>123.54211658099999</v>
      </c>
      <c r="V221" s="180">
        <v>0</v>
      </c>
      <c r="W221" s="180">
        <v>5.0547120814900003E-2</v>
      </c>
      <c r="X221" s="180">
        <v>7.9847047126910997</v>
      </c>
      <c r="Y221" s="180">
        <v>0</v>
      </c>
      <c r="Z221" s="180"/>
      <c r="AA221" s="180"/>
      <c r="AB221" s="181">
        <f t="shared" si="35"/>
        <v>1194.655824934506</v>
      </c>
      <c r="AC221" s="216">
        <f t="shared" si="33"/>
        <v>0.45686407205826651</v>
      </c>
    </row>
    <row r="222" spans="1:29" s="81" customFormat="1" ht="21" customHeight="1" x14ac:dyDescent="0.25">
      <c r="A222" s="70">
        <v>222</v>
      </c>
      <c r="B222" s="71">
        <v>30223</v>
      </c>
      <c r="C222" s="72" t="s">
        <v>68</v>
      </c>
      <c r="D222" s="84" t="s">
        <v>754</v>
      </c>
      <c r="E222" s="89" t="s">
        <v>783</v>
      </c>
      <c r="F222" s="74">
        <f>32957802.5332031/10000</f>
        <v>3295.7802533203098</v>
      </c>
      <c r="G222" s="75" t="s">
        <v>11</v>
      </c>
      <c r="H222" s="76">
        <v>0</v>
      </c>
      <c r="I222" s="76">
        <v>0</v>
      </c>
      <c r="J222" s="76">
        <f t="shared" si="37"/>
        <v>0</v>
      </c>
      <c r="K222" s="302">
        <f>ZoneInondable2022!G507</f>
        <v>79.658230000000003</v>
      </c>
      <c r="L222" s="302">
        <f>ZoneInondable2022!G26</f>
        <v>31.975603</v>
      </c>
      <c r="M222" s="302">
        <f>ZoneInondable2022!G435</f>
        <v>155.52744999999999</v>
      </c>
      <c r="N222" s="76"/>
      <c r="O222" s="76"/>
      <c r="P222" s="76"/>
      <c r="Q222" s="76">
        <f t="shared" si="34"/>
        <v>267.16128300000003</v>
      </c>
      <c r="R222" s="77">
        <f t="shared" si="32"/>
        <v>8.1061618938595897E-2</v>
      </c>
      <c r="S222" s="324">
        <v>7.7898123931826699E-2</v>
      </c>
      <c r="T222" s="78">
        <v>0</v>
      </c>
      <c r="U222" s="79">
        <v>0</v>
      </c>
      <c r="V222" s="80">
        <v>0</v>
      </c>
      <c r="W222" s="80">
        <v>74.540534493581802</v>
      </c>
      <c r="X222" s="80">
        <v>31.6139905350379</v>
      </c>
      <c r="Y222" s="80">
        <v>150.58057359659298</v>
      </c>
      <c r="Z222" s="80"/>
      <c r="AA222" s="80"/>
      <c r="AB222" s="164">
        <f t="shared" si="35"/>
        <v>256.73509862521269</v>
      </c>
      <c r="AC222" s="216">
        <f t="shared" si="33"/>
        <v>7.7898123931826699E-2</v>
      </c>
    </row>
    <row r="223" spans="1:29" s="81" customFormat="1" ht="23.25" customHeight="1" x14ac:dyDescent="0.25">
      <c r="A223" s="70">
        <v>223</v>
      </c>
      <c r="B223" s="71">
        <v>30224</v>
      </c>
      <c r="C223" s="72" t="s">
        <v>170</v>
      </c>
      <c r="D223" s="84" t="s">
        <v>754</v>
      </c>
      <c r="E223" s="69"/>
      <c r="F223" s="74">
        <f>7869342.85839843/10000</f>
        <v>786.93428583984303</v>
      </c>
      <c r="G223" s="75" t="s">
        <v>11</v>
      </c>
      <c r="H223" s="76">
        <v>0</v>
      </c>
      <c r="I223" s="76">
        <v>0</v>
      </c>
      <c r="J223" s="76">
        <f t="shared" si="37"/>
        <v>0</v>
      </c>
      <c r="K223" s="36">
        <f>ZoneInondable2022!G176-X223</f>
        <v>231.81021292327586</v>
      </c>
      <c r="L223" s="36">
        <f>ZoneInondable2022!G84+X223</f>
        <v>69.414919176724098</v>
      </c>
      <c r="M223" s="302">
        <f>ZoneInondable2022!G754</f>
        <v>31.896048</v>
      </c>
      <c r="N223" s="76"/>
      <c r="O223" s="76"/>
      <c r="P223" s="76"/>
      <c r="Q223" s="76">
        <f t="shared" si="34"/>
        <v>333.12118009999995</v>
      </c>
      <c r="R223" s="77">
        <f t="shared" si="32"/>
        <v>0.42331511803997929</v>
      </c>
      <c r="S223" s="324">
        <v>0.41924151896209993</v>
      </c>
      <c r="T223" s="78">
        <v>0</v>
      </c>
      <c r="U223" s="79">
        <v>0</v>
      </c>
      <c r="V223" s="80">
        <v>0</v>
      </c>
      <c r="W223" s="80">
        <v>228.04421597332697</v>
      </c>
      <c r="X223" s="80">
        <v>68.818287076724104</v>
      </c>
      <c r="Y223" s="80">
        <v>33.053022268799999</v>
      </c>
      <c r="Z223" s="80"/>
      <c r="AA223" s="80"/>
      <c r="AB223" s="164">
        <f t="shared" si="35"/>
        <v>329.91552531885111</v>
      </c>
      <c r="AC223" s="216">
        <f t="shared" si="33"/>
        <v>0.41924151896209993</v>
      </c>
    </row>
    <row r="224" spans="1:29" s="81" customFormat="1" ht="23.25" customHeight="1" x14ac:dyDescent="0.25">
      <c r="A224" s="70">
        <v>224</v>
      </c>
      <c r="B224" s="71">
        <v>30225</v>
      </c>
      <c r="C224" s="72" t="s">
        <v>328</v>
      </c>
      <c r="D224" s="84" t="s">
        <v>765</v>
      </c>
      <c r="E224" s="69"/>
      <c r="F224" s="74">
        <f>35753748.7680664/10000</f>
        <v>3575.3748768066398</v>
      </c>
      <c r="G224" s="75" t="s">
        <v>11</v>
      </c>
      <c r="H224" s="76">
        <v>0</v>
      </c>
      <c r="I224" s="76">
        <v>0</v>
      </c>
      <c r="J224" s="76">
        <f t="shared" si="37"/>
        <v>0</v>
      </c>
      <c r="K224" s="302">
        <f>ZoneInondable2022!G198</f>
        <v>260.89066000000003</v>
      </c>
      <c r="L224" s="302">
        <f>ZoneInondable2022!G497</f>
        <v>25.343216000000002</v>
      </c>
      <c r="M224" s="302">
        <f>ZoneInondable2022!G672</f>
        <v>54.387222000000001</v>
      </c>
      <c r="N224" s="76"/>
      <c r="O224" s="76"/>
      <c r="P224" s="76"/>
      <c r="Q224" s="76">
        <f t="shared" si="34"/>
        <v>340.62109800000002</v>
      </c>
      <c r="R224" s="77">
        <f t="shared" si="32"/>
        <v>9.5268638880247183E-2</v>
      </c>
      <c r="S224" s="324">
        <v>9.7605300042638676E-2</v>
      </c>
      <c r="T224" s="78">
        <v>0</v>
      </c>
      <c r="U224" s="79">
        <v>0</v>
      </c>
      <c r="V224" s="80">
        <v>0</v>
      </c>
      <c r="W224" s="80">
        <v>268.94425997929096</v>
      </c>
      <c r="X224" s="80">
        <v>25.036601980073399</v>
      </c>
      <c r="Y224" s="80">
        <v>54.99467565626</v>
      </c>
      <c r="Z224" s="80"/>
      <c r="AA224" s="80"/>
      <c r="AB224" s="164">
        <f t="shared" si="35"/>
        <v>348.97553761562438</v>
      </c>
      <c r="AC224" s="216">
        <f t="shared" si="33"/>
        <v>9.7605300042638676E-2</v>
      </c>
    </row>
    <row r="225" spans="1:29" s="182" customFormat="1" ht="26.25" x14ac:dyDescent="0.25">
      <c r="A225" s="169">
        <v>225</v>
      </c>
      <c r="B225" s="170">
        <v>30226</v>
      </c>
      <c r="C225" s="171" t="s">
        <v>238</v>
      </c>
      <c r="D225" s="172" t="s">
        <v>767</v>
      </c>
      <c r="E225" s="173"/>
      <c r="F225" s="174">
        <f>12969065.9707031/10000</f>
        <v>1296.90659707031</v>
      </c>
      <c r="G225" s="175" t="s">
        <v>788</v>
      </c>
      <c r="H225" s="302">
        <f>ZoneInondable2022!G394</f>
        <v>83.604789999999994</v>
      </c>
      <c r="I225" s="302">
        <f>ZoneInondable2022!G686</f>
        <v>1.9361961000000001</v>
      </c>
      <c r="J225" s="176">
        <f t="shared" si="37"/>
        <v>0</v>
      </c>
      <c r="K225" s="302">
        <f>ZoneInondable2022!G421+ZoneInondable2022!G139+ZoneInondable2022!G661</f>
        <v>174.52610981000001</v>
      </c>
      <c r="L225" s="302">
        <f>ZoneInondable2022!G123+ZoneInondable2022!G867</f>
        <v>10.644493146</v>
      </c>
      <c r="M225" s="176">
        <v>0</v>
      </c>
      <c r="N225" s="176"/>
      <c r="O225" s="176"/>
      <c r="P225" s="176"/>
      <c r="Q225" s="176">
        <f t="shared" si="34"/>
        <v>270.71158905600004</v>
      </c>
      <c r="R225" s="90">
        <f t="shared" si="32"/>
        <v>0.20873638060561411</v>
      </c>
      <c r="S225" s="324">
        <v>7.9139208527364099E-2</v>
      </c>
      <c r="T225" s="178">
        <v>86.989117621800006</v>
      </c>
      <c r="U225" s="179">
        <v>2.1157404506499997</v>
      </c>
      <c r="V225" s="180">
        <v>0</v>
      </c>
      <c r="W225" s="180">
        <v>2.8769229265767402</v>
      </c>
      <c r="X225" s="180">
        <v>10.654380627034701</v>
      </c>
      <c r="Y225" s="180">
        <v>0</v>
      </c>
      <c r="Z225" s="180"/>
      <c r="AA225" s="180"/>
      <c r="AB225" s="181">
        <f t="shared" si="35"/>
        <v>102.63616162606144</v>
      </c>
      <c r="AC225" s="216">
        <f t="shared" si="33"/>
        <v>7.9139208527364099E-2</v>
      </c>
    </row>
    <row r="226" spans="1:29" s="81" customFormat="1" ht="19.5" customHeight="1" x14ac:dyDescent="0.25">
      <c r="A226" s="70">
        <v>226</v>
      </c>
      <c r="B226" s="71">
        <v>30227</v>
      </c>
      <c r="C226" s="72" t="s">
        <v>562</v>
      </c>
      <c r="D226" s="84" t="s">
        <v>765</v>
      </c>
      <c r="E226" s="69"/>
      <c r="F226" s="74">
        <f>11827263.9326171/10000</f>
        <v>1182.72639326171</v>
      </c>
      <c r="G226" s="75" t="s">
        <v>11</v>
      </c>
      <c r="H226" s="76">
        <v>0</v>
      </c>
      <c r="I226" s="76">
        <v>0</v>
      </c>
      <c r="J226" s="76">
        <f t="shared" si="37"/>
        <v>0</v>
      </c>
      <c r="K226" s="302">
        <f>ZoneInondable2022!G595</f>
        <v>215.90271000000001</v>
      </c>
      <c r="L226" s="302">
        <f>ZoneInondable2022!G478</f>
        <v>22.542096999999998</v>
      </c>
      <c r="M226" s="302">
        <f>ZoneInondable2022!G518</f>
        <v>42.841537000000002</v>
      </c>
      <c r="N226" s="76"/>
      <c r="O226" s="76"/>
      <c r="P226" s="76"/>
      <c r="Q226" s="76">
        <f t="shared" si="34"/>
        <v>281.28634400000004</v>
      </c>
      <c r="R226" s="77">
        <f t="shared" si="32"/>
        <v>0.23782875363444933</v>
      </c>
      <c r="S226" s="324">
        <v>0.23404325930247666</v>
      </c>
      <c r="T226" s="78">
        <v>0</v>
      </c>
      <c r="U226" s="79">
        <v>0</v>
      </c>
      <c r="V226" s="80">
        <v>0</v>
      </c>
      <c r="W226" s="80">
        <v>211.73221533214999</v>
      </c>
      <c r="X226" s="80">
        <v>22.311087987983402</v>
      </c>
      <c r="Y226" s="80">
        <v>42.7658366219</v>
      </c>
      <c r="Z226" s="80"/>
      <c r="AA226" s="80"/>
      <c r="AB226" s="164">
        <f t="shared" si="35"/>
        <v>276.80913994203337</v>
      </c>
      <c r="AC226" s="216">
        <f t="shared" si="33"/>
        <v>0.23404325930247666</v>
      </c>
    </row>
    <row r="227" spans="1:29" s="28" customFormat="1" ht="32.25" customHeight="1" x14ac:dyDescent="0.25">
      <c r="A227" s="17">
        <v>227</v>
      </c>
      <c r="B227" s="18">
        <v>30229</v>
      </c>
      <c r="C227" s="19" t="s">
        <v>802</v>
      </c>
      <c r="D227" s="20" t="s">
        <v>766</v>
      </c>
      <c r="E227" s="21"/>
      <c r="F227" s="22">
        <f>22023335.4248046/10000</f>
        <v>2202.33354248046</v>
      </c>
      <c r="G227" s="23" t="s">
        <v>761</v>
      </c>
      <c r="H227" s="302">
        <f>ZoneInondable2022!G204</f>
        <v>147.64856</v>
      </c>
      <c r="I227" s="24">
        <v>0</v>
      </c>
      <c r="J227" s="24">
        <f t="shared" si="37"/>
        <v>0</v>
      </c>
      <c r="K227" s="24">
        <f>W227/10000</f>
        <v>0</v>
      </c>
      <c r="L227" s="24">
        <f>X227/10000</f>
        <v>0</v>
      </c>
      <c r="M227" s="24">
        <f>Y227/10000</f>
        <v>0</v>
      </c>
      <c r="N227" s="24"/>
      <c r="O227" s="24"/>
      <c r="P227" s="24"/>
      <c r="Q227" s="24">
        <f t="shared" si="34"/>
        <v>147.64856</v>
      </c>
      <c r="R227" s="85">
        <f t="shared" si="32"/>
        <v>6.7041870430627565E-2</v>
      </c>
      <c r="S227" s="324">
        <v>6.7424473757392939E-2</v>
      </c>
      <c r="T227" s="25">
        <v>148.49118014000001</v>
      </c>
      <c r="U227" s="26">
        <v>0</v>
      </c>
      <c r="V227" s="27">
        <v>0</v>
      </c>
      <c r="W227" s="27">
        <v>0</v>
      </c>
      <c r="X227" s="27">
        <v>0</v>
      </c>
      <c r="Y227" s="27">
        <v>0</v>
      </c>
      <c r="Z227" s="27"/>
      <c r="AA227" s="27"/>
      <c r="AB227" s="160">
        <f t="shared" si="35"/>
        <v>148.49118014000001</v>
      </c>
      <c r="AC227" s="216">
        <f t="shared" si="33"/>
        <v>6.7424473757392939E-2</v>
      </c>
    </row>
    <row r="228" spans="1:29" s="81" customFormat="1" ht="34.5" customHeight="1" x14ac:dyDescent="0.25">
      <c r="A228" s="70">
        <v>228</v>
      </c>
      <c r="B228" s="71">
        <v>30230</v>
      </c>
      <c r="C228" s="72" t="s">
        <v>574</v>
      </c>
      <c r="D228" s="84" t="s">
        <v>765</v>
      </c>
      <c r="E228" s="69"/>
      <c r="F228" s="74">
        <f>12049090.1401367/10000</f>
        <v>1204.90901401367</v>
      </c>
      <c r="G228" s="75" t="s">
        <v>11</v>
      </c>
      <c r="H228" s="76">
        <v>0</v>
      </c>
      <c r="I228" s="76">
        <v>0</v>
      </c>
      <c r="J228" s="76">
        <f t="shared" si="37"/>
        <v>0</v>
      </c>
      <c r="K228" s="302">
        <f>ZoneInondable2022!G511</f>
        <v>168.8158</v>
      </c>
      <c r="L228" s="302">
        <f>ZoneInondable2022!G628</f>
        <v>8.4748049999999999</v>
      </c>
      <c r="M228" s="302">
        <f>ZoneInondable2022!G789</f>
        <v>8.5900999999999996</v>
      </c>
      <c r="N228" s="76"/>
      <c r="O228" s="76"/>
      <c r="P228" s="76"/>
      <c r="Q228" s="76">
        <f t="shared" si="34"/>
        <v>185.88070500000001</v>
      </c>
      <c r="R228" s="77">
        <f t="shared" si="32"/>
        <v>0.15426949490635244</v>
      </c>
      <c r="S228" s="324">
        <v>0.14225499809019163</v>
      </c>
      <c r="T228" s="78">
        <v>0</v>
      </c>
      <c r="U228" s="79">
        <v>0</v>
      </c>
      <c r="V228" s="80">
        <v>0</v>
      </c>
      <c r="W228" s="80">
        <v>154.81966050451902</v>
      </c>
      <c r="X228" s="80">
        <v>8.1471338881602708</v>
      </c>
      <c r="Y228" s="80">
        <v>8.4375350946900003</v>
      </c>
      <c r="Z228" s="80"/>
      <c r="AA228" s="80"/>
      <c r="AB228" s="164">
        <f t="shared" si="35"/>
        <v>171.4043294873693</v>
      </c>
      <c r="AC228" s="216">
        <f t="shared" si="33"/>
        <v>0.14225499809019163</v>
      </c>
    </row>
    <row r="229" spans="1:29" s="28" customFormat="1" ht="29.25" customHeight="1" x14ac:dyDescent="0.25">
      <c r="A229" s="17">
        <v>229</v>
      </c>
      <c r="B229" s="18">
        <v>30231</v>
      </c>
      <c r="C229" s="19" t="s">
        <v>139</v>
      </c>
      <c r="D229" s="20" t="s">
        <v>754</v>
      </c>
      <c r="E229" s="21"/>
      <c r="F229" s="22">
        <f>48909494.9824218/10000</f>
        <v>4890.9494982421802</v>
      </c>
      <c r="G229" s="23" t="s">
        <v>761</v>
      </c>
      <c r="H229" s="302">
        <f>ZoneInondable2022!G65</f>
        <v>85.129840000000002</v>
      </c>
      <c r="I229" s="24">
        <v>0</v>
      </c>
      <c r="J229" s="24">
        <f t="shared" si="37"/>
        <v>0</v>
      </c>
      <c r="K229" s="24">
        <v>0</v>
      </c>
      <c r="L229" s="24">
        <v>0</v>
      </c>
      <c r="M229" s="24">
        <v>0</v>
      </c>
      <c r="N229" s="24"/>
      <c r="O229" s="24"/>
      <c r="P229" s="24"/>
      <c r="Q229" s="24">
        <f t="shared" si="34"/>
        <v>85.129840000000002</v>
      </c>
      <c r="R229" s="85">
        <f t="shared" si="32"/>
        <v>1.7405585567913936E-2</v>
      </c>
      <c r="S229" s="324">
        <v>1.7387533111957943E-2</v>
      </c>
      <c r="T229" s="25">
        <v>85.041546349599997</v>
      </c>
      <c r="U229" s="26">
        <v>0</v>
      </c>
      <c r="V229" s="27">
        <v>0</v>
      </c>
      <c r="W229" s="27">
        <v>0</v>
      </c>
      <c r="X229" s="27">
        <v>0</v>
      </c>
      <c r="Y229" s="27">
        <v>0</v>
      </c>
      <c r="Z229" s="27"/>
      <c r="AA229" s="27"/>
      <c r="AB229" s="160">
        <f t="shared" si="35"/>
        <v>85.041546349599997</v>
      </c>
      <c r="AC229" s="216">
        <f t="shared" si="33"/>
        <v>1.7387533111957943E-2</v>
      </c>
    </row>
    <row r="230" spans="1:29" s="81" customFormat="1" ht="26.25" x14ac:dyDescent="0.25">
      <c r="A230" s="70">
        <v>230</v>
      </c>
      <c r="B230" s="71">
        <v>30232</v>
      </c>
      <c r="C230" s="72" t="s">
        <v>803</v>
      </c>
      <c r="D230" s="84" t="s">
        <v>765</v>
      </c>
      <c r="E230" s="69"/>
      <c r="F230" s="74">
        <f>9746610.32226562/10000</f>
        <v>974.66103222656193</v>
      </c>
      <c r="G230" s="75" t="s">
        <v>11</v>
      </c>
      <c r="H230" s="76">
        <v>0</v>
      </c>
      <c r="I230" s="76">
        <v>0</v>
      </c>
      <c r="J230" s="76">
        <f t="shared" si="37"/>
        <v>0</v>
      </c>
      <c r="K230" s="302">
        <f>ZoneInondable2022!G862</f>
        <v>17.636956999999999</v>
      </c>
      <c r="L230" s="302">
        <f>ZoneInondable2022!G749</f>
        <v>0.79622559999999998</v>
      </c>
      <c r="M230" s="302">
        <f>ZoneInondable2022!G662</f>
        <v>4.0007640000000002</v>
      </c>
      <c r="N230" s="76"/>
      <c r="O230" s="76"/>
      <c r="P230" s="76"/>
      <c r="Q230" s="76">
        <f t="shared" si="34"/>
        <v>22.433946599999999</v>
      </c>
      <c r="R230" s="77">
        <f t="shared" si="32"/>
        <v>2.3017178134998203E-2</v>
      </c>
      <c r="S230" s="324">
        <v>1.6000284553419536E-2</v>
      </c>
      <c r="T230" s="78">
        <v>0</v>
      </c>
      <c r="U230" s="79">
        <v>0</v>
      </c>
      <c r="V230" s="80">
        <v>0</v>
      </c>
      <c r="W230" s="80">
        <v>11.2936962377666</v>
      </c>
      <c r="X230" s="80">
        <v>0.71041474823799999</v>
      </c>
      <c r="Y230" s="80">
        <v>3.5907428727500004</v>
      </c>
      <c r="Z230" s="80"/>
      <c r="AA230" s="80"/>
      <c r="AB230" s="164">
        <f t="shared" si="35"/>
        <v>15.5948538587546</v>
      </c>
      <c r="AC230" s="216">
        <f t="shared" si="33"/>
        <v>1.6000284553419536E-2</v>
      </c>
    </row>
    <row r="231" spans="1:29" s="149" customFormat="1" ht="27" customHeight="1" x14ac:dyDescent="0.25">
      <c r="A231" s="138">
        <v>231</v>
      </c>
      <c r="B231" s="139">
        <v>30233</v>
      </c>
      <c r="C231" s="140" t="s">
        <v>804</v>
      </c>
      <c r="D231" s="141" t="s">
        <v>754</v>
      </c>
      <c r="E231" s="137"/>
      <c r="F231" s="142">
        <f>4943958.16943359/10000</f>
        <v>494.39581694335902</v>
      </c>
      <c r="G231" s="143" t="s">
        <v>778</v>
      </c>
      <c r="H231" s="144">
        <v>0</v>
      </c>
      <c r="I231" s="144">
        <v>0</v>
      </c>
      <c r="J231" s="144">
        <f t="shared" si="37"/>
        <v>0</v>
      </c>
      <c r="K231" s="302">
        <f>ZoneInondable2022!G591</f>
        <v>0.14439669999999999</v>
      </c>
      <c r="L231" s="144">
        <f>X231/10000</f>
        <v>0</v>
      </c>
      <c r="M231" s="302">
        <f>ZoneInondable2022!G98</f>
        <v>0.27264680000000002</v>
      </c>
      <c r="N231" s="144"/>
      <c r="O231" s="144"/>
      <c r="P231" s="144"/>
      <c r="Q231" s="144">
        <f t="shared" si="34"/>
        <v>0.41704350000000001</v>
      </c>
      <c r="R231" s="145">
        <f t="shared" si="32"/>
        <v>8.435417244797988E-4</v>
      </c>
      <c r="S231" s="324">
        <v>0</v>
      </c>
      <c r="T231" s="146">
        <v>0</v>
      </c>
      <c r="U231" s="147">
        <v>0</v>
      </c>
      <c r="V231" s="148">
        <v>0</v>
      </c>
      <c r="W231" s="148">
        <v>0</v>
      </c>
      <c r="X231" s="148">
        <v>0</v>
      </c>
      <c r="Y231" s="148">
        <v>0</v>
      </c>
      <c r="Z231" s="148"/>
      <c r="AA231" s="148"/>
      <c r="AB231" s="51">
        <f t="shared" si="35"/>
        <v>0</v>
      </c>
      <c r="AC231" s="216">
        <f t="shared" si="33"/>
        <v>0</v>
      </c>
    </row>
    <row r="232" spans="1:29" s="28" customFormat="1" ht="26.25" customHeight="1" x14ac:dyDescent="0.25">
      <c r="A232" s="17">
        <v>232</v>
      </c>
      <c r="B232" s="18">
        <v>30234</v>
      </c>
      <c r="C232" s="19" t="s">
        <v>676</v>
      </c>
      <c r="D232" s="20" t="s">
        <v>754</v>
      </c>
      <c r="E232" s="21" t="s">
        <v>791</v>
      </c>
      <c r="F232" s="22">
        <f>6467759.05566406/10000</f>
        <v>646.77590556640598</v>
      </c>
      <c r="G232" s="23" t="s">
        <v>761</v>
      </c>
      <c r="H232" s="302">
        <f>ZoneInondable2022!G726</f>
        <v>8.9000319999999995</v>
      </c>
      <c r="I232" s="24">
        <v>0</v>
      </c>
      <c r="J232" s="24">
        <f t="shared" si="37"/>
        <v>0</v>
      </c>
      <c r="K232" s="24">
        <f>W232/10000</f>
        <v>0</v>
      </c>
      <c r="L232" s="24">
        <f>X232/10000</f>
        <v>0</v>
      </c>
      <c r="M232" s="24">
        <f>Y232/10000</f>
        <v>0</v>
      </c>
      <c r="N232" s="24"/>
      <c r="O232" s="24"/>
      <c r="P232" s="24"/>
      <c r="Q232" s="24">
        <f t="shared" si="34"/>
        <v>8.9000319999999995</v>
      </c>
      <c r="R232" s="85">
        <f t="shared" si="32"/>
        <v>1.3760611555567931E-2</v>
      </c>
      <c r="S232" s="324">
        <v>1.4070077172835658E-2</v>
      </c>
      <c r="T232" s="25">
        <v>9.1001869048500001</v>
      </c>
      <c r="U232" s="26">
        <v>0</v>
      </c>
      <c r="V232" s="27">
        <v>0</v>
      </c>
      <c r="W232" s="27">
        <v>0</v>
      </c>
      <c r="X232" s="27">
        <v>0</v>
      </c>
      <c r="Y232" s="27">
        <v>0</v>
      </c>
      <c r="Z232" s="27"/>
      <c r="AA232" s="27"/>
      <c r="AB232" s="160">
        <f t="shared" si="35"/>
        <v>9.1001869048500001</v>
      </c>
      <c r="AC232" s="216">
        <f t="shared" si="33"/>
        <v>1.4070077172835658E-2</v>
      </c>
    </row>
    <row r="233" spans="1:29" s="28" customFormat="1" ht="39" x14ac:dyDescent="0.25">
      <c r="A233" s="17">
        <v>233</v>
      </c>
      <c r="B233" s="18">
        <v>30236</v>
      </c>
      <c r="C233" s="19" t="s">
        <v>717</v>
      </c>
      <c r="D233" s="20" t="s">
        <v>754</v>
      </c>
      <c r="E233" s="21"/>
      <c r="F233" s="22">
        <f>3586914.88867187/10000</f>
        <v>358.69148886718699</v>
      </c>
      <c r="G233" s="23" t="s">
        <v>761</v>
      </c>
      <c r="H233" s="302">
        <f>ZoneInondable2022!G821</f>
        <v>21.874307999999999</v>
      </c>
      <c r="I233" s="24">
        <v>0</v>
      </c>
      <c r="J233" s="24">
        <f t="shared" si="37"/>
        <v>0</v>
      </c>
      <c r="K233" s="24">
        <f>W233/10000</f>
        <v>0</v>
      </c>
      <c r="L233" s="24">
        <f>X233/10000</f>
        <v>0</v>
      </c>
      <c r="M233" s="24">
        <f>Y233/10000</f>
        <v>0</v>
      </c>
      <c r="N233" s="24"/>
      <c r="O233" s="24"/>
      <c r="P233" s="24"/>
      <c r="Q233" s="24">
        <f t="shared" si="34"/>
        <v>21.874307999999999</v>
      </c>
      <c r="R233" s="85">
        <f t="shared" si="32"/>
        <v>6.09836270971554E-2</v>
      </c>
      <c r="S233" s="324">
        <v>5.5063958296521519E-2</v>
      </c>
      <c r="T233" s="25">
        <v>19.750973184299998</v>
      </c>
      <c r="U233" s="26">
        <v>0</v>
      </c>
      <c r="V233" s="27">
        <v>0</v>
      </c>
      <c r="W233" s="27">
        <v>0</v>
      </c>
      <c r="X233" s="27">
        <v>0</v>
      </c>
      <c r="Y233" s="27">
        <v>0</v>
      </c>
      <c r="Z233" s="27"/>
      <c r="AA233" s="27"/>
      <c r="AB233" s="160">
        <f t="shared" si="35"/>
        <v>19.750973184299998</v>
      </c>
      <c r="AC233" s="216">
        <f t="shared" si="33"/>
        <v>5.5063958296521519E-2</v>
      </c>
    </row>
    <row r="234" spans="1:29" s="81" customFormat="1" ht="26.25" x14ac:dyDescent="0.25">
      <c r="A234" s="70">
        <v>234</v>
      </c>
      <c r="B234" s="71">
        <v>30235</v>
      </c>
      <c r="C234" s="72" t="s">
        <v>100</v>
      </c>
      <c r="D234" s="84" t="s">
        <v>754</v>
      </c>
      <c r="E234" s="69"/>
      <c r="F234" s="74">
        <f>6808944.72509765/10000</f>
        <v>680.89447250976502</v>
      </c>
      <c r="G234" s="75" t="s">
        <v>11</v>
      </c>
      <c r="H234" s="76">
        <v>0</v>
      </c>
      <c r="I234" s="76">
        <v>0</v>
      </c>
      <c r="J234" s="76">
        <f t="shared" si="37"/>
        <v>0</v>
      </c>
      <c r="K234" s="302">
        <f>ZoneInondable2022!G352</f>
        <v>21.969249999999999</v>
      </c>
      <c r="L234" s="302">
        <f>ZoneInondable2022!G499</f>
        <v>26.078558000000001</v>
      </c>
      <c r="M234" s="302">
        <f>ZoneInondable2022!G43</f>
        <v>12.435205</v>
      </c>
      <c r="N234" s="76"/>
      <c r="O234" s="76"/>
      <c r="P234" s="76"/>
      <c r="Q234" s="76">
        <f t="shared" si="34"/>
        <v>60.483013</v>
      </c>
      <c r="R234" s="77">
        <f t="shared" si="32"/>
        <v>8.882876193290376E-2</v>
      </c>
      <c r="S234" s="324">
        <v>8.914820086034618E-2</v>
      </c>
      <c r="T234" s="78">
        <v>0</v>
      </c>
      <c r="U234" s="79">
        <v>0</v>
      </c>
      <c r="V234" s="80">
        <v>0</v>
      </c>
      <c r="W234" s="80">
        <v>22.024395799999994</v>
      </c>
      <c r="X234" s="80">
        <v>26.217265700000002</v>
      </c>
      <c r="Y234" s="80">
        <v>12.458855700000001</v>
      </c>
      <c r="Z234" s="80"/>
      <c r="AA234" s="80"/>
      <c r="AB234" s="164">
        <f t="shared" si="35"/>
        <v>60.700517199999993</v>
      </c>
      <c r="AC234" s="216">
        <f t="shared" si="33"/>
        <v>8.914820086034618E-2</v>
      </c>
    </row>
    <row r="235" spans="1:29" s="81" customFormat="1" ht="21" customHeight="1" x14ac:dyDescent="0.25">
      <c r="A235" s="70">
        <v>235</v>
      </c>
      <c r="B235" s="71">
        <v>30237</v>
      </c>
      <c r="C235" s="72" t="s">
        <v>510</v>
      </c>
      <c r="D235" s="84" t="s">
        <v>765</v>
      </c>
      <c r="E235" s="69"/>
      <c r="F235" s="74">
        <f>11212001.239746/10000</f>
        <v>1121.2001239746</v>
      </c>
      <c r="G235" s="75" t="s">
        <v>11</v>
      </c>
      <c r="H235" s="76">
        <v>0</v>
      </c>
      <c r="I235" s="76">
        <v>0</v>
      </c>
      <c r="J235" s="76">
        <f t="shared" si="37"/>
        <v>0</v>
      </c>
      <c r="K235" s="302">
        <f>ZoneInondable2022!G381</f>
        <v>23.763582</v>
      </c>
      <c r="L235" s="302">
        <f>ZoneInondable2022!G818</f>
        <v>1.9513965</v>
      </c>
      <c r="M235" s="302">
        <f>ZoneInondable2022!G817</f>
        <v>18.151351999999999</v>
      </c>
      <c r="N235" s="76"/>
      <c r="O235" s="76"/>
      <c r="P235" s="76"/>
      <c r="Q235" s="76">
        <f t="shared" si="34"/>
        <v>43.866330500000004</v>
      </c>
      <c r="R235" s="77">
        <f t="shared" si="32"/>
        <v>3.9124443140887276E-2</v>
      </c>
      <c r="S235" s="324">
        <v>3.6216465524322373E-2</v>
      </c>
      <c r="T235" s="78">
        <v>0</v>
      </c>
      <c r="U235" s="79">
        <v>0</v>
      </c>
      <c r="V235" s="80">
        <v>0</v>
      </c>
      <c r="W235" s="80">
        <v>21.507783087081897</v>
      </c>
      <c r="X235" s="80">
        <v>1.70483035551018</v>
      </c>
      <c r="Y235" s="80">
        <v>17.393292193200001</v>
      </c>
      <c r="Z235" s="80"/>
      <c r="AA235" s="80"/>
      <c r="AB235" s="164">
        <f t="shared" si="35"/>
        <v>40.605905635792077</v>
      </c>
      <c r="AC235" s="216">
        <f t="shared" si="33"/>
        <v>3.6216465524322373E-2</v>
      </c>
    </row>
    <row r="236" spans="1:29" s="28" customFormat="1" ht="24.75" customHeight="1" x14ac:dyDescent="0.25">
      <c r="A236" s="17">
        <v>236</v>
      </c>
      <c r="B236" s="18">
        <v>30238</v>
      </c>
      <c r="C236" s="19" t="s">
        <v>805</v>
      </c>
      <c r="D236" s="20" t="s">
        <v>766</v>
      </c>
      <c r="E236" s="21"/>
      <c r="F236" s="22">
        <f>8531157.86035156/10000</f>
        <v>853.11578603515602</v>
      </c>
      <c r="G236" s="23" t="s">
        <v>761</v>
      </c>
      <c r="H236" s="302">
        <f>ZoneInondable2022!G777</f>
        <v>9.9221679999999992</v>
      </c>
      <c r="I236" s="24">
        <v>0</v>
      </c>
      <c r="J236" s="24">
        <f t="shared" si="37"/>
        <v>0</v>
      </c>
      <c r="K236" s="24">
        <v>0</v>
      </c>
      <c r="L236" s="24">
        <v>0</v>
      </c>
      <c r="M236" s="24">
        <v>0</v>
      </c>
      <c r="N236" s="24"/>
      <c r="O236" s="24"/>
      <c r="P236" s="24"/>
      <c r="Q236" s="24">
        <f t="shared" si="34"/>
        <v>9.9221679999999992</v>
      </c>
      <c r="R236" s="85">
        <f t="shared" si="32"/>
        <v>1.1630505685650409E-2</v>
      </c>
      <c r="S236" s="324">
        <v>9.9974279297048788E-3</v>
      </c>
      <c r="T236" s="25">
        <v>8.5289635865799998</v>
      </c>
      <c r="U236" s="26">
        <v>0</v>
      </c>
      <c r="V236" s="27">
        <v>0</v>
      </c>
      <c r="W236" s="27">
        <v>0</v>
      </c>
      <c r="X236" s="27">
        <v>0</v>
      </c>
      <c r="Y236" s="27">
        <v>0</v>
      </c>
      <c r="Z236" s="27"/>
      <c r="AA236" s="27"/>
      <c r="AB236" s="160">
        <f t="shared" si="35"/>
        <v>8.5289635865799998</v>
      </c>
      <c r="AC236" s="216">
        <f t="shared" si="33"/>
        <v>9.9974279297048788E-3</v>
      </c>
    </row>
    <row r="237" spans="1:29" s="81" customFormat="1" ht="26.25" x14ac:dyDescent="0.25">
      <c r="A237" s="70">
        <v>237</v>
      </c>
      <c r="B237" s="71">
        <v>30240</v>
      </c>
      <c r="C237" s="72" t="s">
        <v>29</v>
      </c>
      <c r="D237" s="84" t="s">
        <v>754</v>
      </c>
      <c r="E237" s="69"/>
      <c r="F237" s="74">
        <f>6856387.76953125/10000</f>
        <v>685.63877695312499</v>
      </c>
      <c r="G237" s="75" t="s">
        <v>11</v>
      </c>
      <c r="H237" s="76">
        <v>0</v>
      </c>
      <c r="I237" s="76">
        <v>0</v>
      </c>
      <c r="J237" s="76">
        <f t="shared" si="37"/>
        <v>0</v>
      </c>
      <c r="K237" s="36">
        <f>ZoneInondable2022!G8-X237</f>
        <v>91.996580755835907</v>
      </c>
      <c r="L237" s="36">
        <f>ZoneInondable2022!G837+X237</f>
        <v>29.0756137241641</v>
      </c>
      <c r="M237" s="302">
        <f>ZoneInondable2022!G104</f>
        <v>12.320356</v>
      </c>
      <c r="N237" s="76"/>
      <c r="O237" s="76"/>
      <c r="P237" s="76"/>
      <c r="Q237" s="76">
        <f t="shared" si="34"/>
        <v>133.39255048000001</v>
      </c>
      <c r="R237" s="77">
        <f t="shared" si="32"/>
        <v>0.19455222627981505</v>
      </c>
      <c r="S237" s="324">
        <v>0.19038230250852378</v>
      </c>
      <c r="T237" s="78">
        <v>0</v>
      </c>
      <c r="U237" s="79">
        <v>0</v>
      </c>
      <c r="V237" s="80">
        <v>0</v>
      </c>
      <c r="W237" s="80">
        <v>84.270767317700006</v>
      </c>
      <c r="X237" s="80">
        <v>28.8618992441641</v>
      </c>
      <c r="Y237" s="80">
        <v>17.400822483600002</v>
      </c>
      <c r="Z237" s="80"/>
      <c r="AA237" s="80"/>
      <c r="AB237" s="164">
        <f t="shared" si="35"/>
        <v>130.53348904546411</v>
      </c>
      <c r="AC237" s="216">
        <f t="shared" si="33"/>
        <v>0.19038230250852378</v>
      </c>
    </row>
    <row r="238" spans="1:29" s="81" customFormat="1" ht="26.25" customHeight="1" x14ac:dyDescent="0.25">
      <c r="A238" s="70">
        <v>238</v>
      </c>
      <c r="B238" s="71">
        <v>30241</v>
      </c>
      <c r="C238" s="72" t="s">
        <v>449</v>
      </c>
      <c r="D238" s="84" t="s">
        <v>754</v>
      </c>
      <c r="E238" s="200"/>
      <c r="F238" s="74">
        <f>12961599.8305664/10000</f>
        <v>1296.1599830566402</v>
      </c>
      <c r="G238" s="75" t="s">
        <v>11</v>
      </c>
      <c r="H238" s="76">
        <v>0</v>
      </c>
      <c r="I238" s="76">
        <v>0</v>
      </c>
      <c r="J238" s="76">
        <f t="shared" si="37"/>
        <v>0</v>
      </c>
      <c r="K238" s="36">
        <f>ZoneInondable2022!G302-X238</f>
        <v>568.64494637904193</v>
      </c>
      <c r="L238" s="36">
        <f>ZoneInondable2022!G722+X238</f>
        <v>116.896554620958</v>
      </c>
      <c r="M238" s="302">
        <f>ZoneInondable2022!G515</f>
        <v>227.67491000000001</v>
      </c>
      <c r="N238" s="76"/>
      <c r="O238" s="76"/>
      <c r="P238" s="76"/>
      <c r="Q238" s="76">
        <f t="shared" si="34"/>
        <v>913.21641099999988</v>
      </c>
      <c r="R238" s="77">
        <f t="shared" si="32"/>
        <v>0.70455531951112071</v>
      </c>
      <c r="S238" s="324">
        <v>0.70153728524253323</v>
      </c>
      <c r="T238" s="78">
        <v>0</v>
      </c>
      <c r="U238" s="79">
        <v>0</v>
      </c>
      <c r="V238" s="80">
        <v>0</v>
      </c>
      <c r="W238" s="80">
        <v>552.98106311460504</v>
      </c>
      <c r="X238" s="80">
        <v>107.30720362095801</v>
      </c>
      <c r="Y238" s="80">
        <v>249.01628901800001</v>
      </c>
      <c r="Z238" s="80"/>
      <c r="AA238" s="80"/>
      <c r="AB238" s="164">
        <f t="shared" si="35"/>
        <v>909.30455575356314</v>
      </c>
      <c r="AC238" s="216">
        <f t="shared" si="33"/>
        <v>0.70153728524253323</v>
      </c>
    </row>
    <row r="239" spans="1:29" s="28" customFormat="1" ht="26.25" x14ac:dyDescent="0.25">
      <c r="A239" s="17">
        <v>239</v>
      </c>
      <c r="B239" s="18">
        <v>30242</v>
      </c>
      <c r="C239" s="19" t="s">
        <v>806</v>
      </c>
      <c r="D239" s="20" t="s">
        <v>760</v>
      </c>
      <c r="E239" s="21" t="s">
        <v>807</v>
      </c>
      <c r="F239" s="22">
        <f>8073242.41357421/10000</f>
        <v>807.32424135742099</v>
      </c>
      <c r="G239" s="23" t="s">
        <v>761</v>
      </c>
      <c r="H239" s="302">
        <f>ZoneInondable2022!G689</f>
        <v>40.156283999999999</v>
      </c>
      <c r="I239" s="24">
        <v>0</v>
      </c>
      <c r="J239" s="24">
        <f t="shared" si="37"/>
        <v>0</v>
      </c>
      <c r="K239" s="24">
        <v>0</v>
      </c>
      <c r="L239" s="24">
        <v>0</v>
      </c>
      <c r="M239" s="24">
        <v>0</v>
      </c>
      <c r="N239" s="24"/>
      <c r="O239" s="24"/>
      <c r="P239" s="24"/>
      <c r="Q239" s="24">
        <f t="shared" si="34"/>
        <v>40.156283999999999</v>
      </c>
      <c r="R239" s="85">
        <f t="shared" si="32"/>
        <v>4.9739970563105994E-2</v>
      </c>
      <c r="S239" s="324">
        <v>5.4409540031330354E-2</v>
      </c>
      <c r="T239" s="25">
        <v>43.926140628400006</v>
      </c>
      <c r="U239" s="26">
        <v>0</v>
      </c>
      <c r="V239" s="27">
        <v>0</v>
      </c>
      <c r="W239" s="27">
        <v>0</v>
      </c>
      <c r="X239" s="27">
        <v>0</v>
      </c>
      <c r="Y239" s="27">
        <v>0</v>
      </c>
      <c r="Z239" s="27"/>
      <c r="AA239" s="27"/>
      <c r="AB239" s="160">
        <f t="shared" si="35"/>
        <v>43.926140628400006</v>
      </c>
      <c r="AC239" s="216">
        <f t="shared" si="33"/>
        <v>5.4409540031330354E-2</v>
      </c>
    </row>
    <row r="240" spans="1:29" s="81" customFormat="1" ht="26.25" x14ac:dyDescent="0.25">
      <c r="A240" s="70">
        <v>240</v>
      </c>
      <c r="B240" s="71">
        <v>30243</v>
      </c>
      <c r="C240" s="72" t="s">
        <v>808</v>
      </c>
      <c r="D240" s="84" t="s">
        <v>754</v>
      </c>
      <c r="E240" s="69"/>
      <c r="F240" s="74">
        <f>20206858.5268554/10000</f>
        <v>2020.6858526855401</v>
      </c>
      <c r="G240" s="75" t="s">
        <v>11</v>
      </c>
      <c r="H240" s="76">
        <v>0</v>
      </c>
      <c r="I240" s="76">
        <v>0</v>
      </c>
      <c r="J240" s="76">
        <f t="shared" si="37"/>
        <v>0</v>
      </c>
      <c r="K240" s="302">
        <f>ZoneInondable2022!G140</f>
        <v>477.20600000000002</v>
      </c>
      <c r="L240" s="302">
        <f>ZoneInondable2022!G585</f>
        <v>88.406970000000001</v>
      </c>
      <c r="M240" s="302">
        <f>ZoneInondable2022!G810</f>
        <v>223.39746</v>
      </c>
      <c r="N240" s="76"/>
      <c r="O240" s="76"/>
      <c r="P240" s="76"/>
      <c r="Q240" s="76">
        <f t="shared" si="34"/>
        <v>789.01043000000004</v>
      </c>
      <c r="R240" s="77">
        <f t="shared" si="32"/>
        <v>0.39046664722840824</v>
      </c>
      <c r="S240" s="324">
        <v>0.3886290006534685</v>
      </c>
      <c r="T240" s="78">
        <v>0</v>
      </c>
      <c r="U240" s="79">
        <v>0</v>
      </c>
      <c r="V240" s="80">
        <v>0</v>
      </c>
      <c r="W240" s="80">
        <v>477.43224411425496</v>
      </c>
      <c r="X240" s="80">
        <v>86.359286279528405</v>
      </c>
      <c r="Y240" s="80">
        <v>221.50559317</v>
      </c>
      <c r="Z240" s="80"/>
      <c r="AA240" s="80"/>
      <c r="AB240" s="164">
        <f t="shared" si="35"/>
        <v>785.29712356378332</v>
      </c>
      <c r="AC240" s="216">
        <f t="shared" si="33"/>
        <v>0.3886290006534685</v>
      </c>
    </row>
    <row r="241" spans="1:29" s="28" customFormat="1" ht="28.5" customHeight="1" x14ac:dyDescent="0.25">
      <c r="A241" s="17">
        <v>241</v>
      </c>
      <c r="B241" s="18">
        <v>30244</v>
      </c>
      <c r="C241" s="19" t="s">
        <v>709</v>
      </c>
      <c r="D241" s="20" t="s">
        <v>755</v>
      </c>
      <c r="E241" s="21"/>
      <c r="F241" s="22">
        <f>4898662.99072265/10000</f>
        <v>489.86629907226495</v>
      </c>
      <c r="G241" s="23" t="s">
        <v>761</v>
      </c>
      <c r="H241" s="302">
        <f>ZoneInondable2022!G788</f>
        <v>47.693413</v>
      </c>
      <c r="I241" s="24">
        <v>0</v>
      </c>
      <c r="J241" s="24">
        <f t="shared" si="37"/>
        <v>0</v>
      </c>
      <c r="K241" s="24">
        <v>0</v>
      </c>
      <c r="L241" s="24">
        <v>0</v>
      </c>
      <c r="M241" s="24">
        <v>0</v>
      </c>
      <c r="N241" s="24"/>
      <c r="O241" s="24"/>
      <c r="P241" s="24"/>
      <c r="Q241" s="24">
        <f t="shared" si="34"/>
        <v>47.693413</v>
      </c>
      <c r="R241" s="85">
        <f t="shared" si="32"/>
        <v>9.7360061490909547E-2</v>
      </c>
      <c r="S241" s="324">
        <v>9.476674004073056E-2</v>
      </c>
      <c r="T241" s="25">
        <v>46.423032218896104</v>
      </c>
      <c r="U241" s="26">
        <v>0</v>
      </c>
      <c r="V241" s="27">
        <v>0</v>
      </c>
      <c r="W241" s="27">
        <v>0</v>
      </c>
      <c r="X241" s="27">
        <v>0</v>
      </c>
      <c r="Y241" s="27">
        <v>0</v>
      </c>
      <c r="Z241" s="27"/>
      <c r="AA241" s="27"/>
      <c r="AB241" s="160">
        <f t="shared" si="35"/>
        <v>46.423032218896104</v>
      </c>
      <c r="AC241" s="216">
        <f t="shared" si="33"/>
        <v>9.476674004073056E-2</v>
      </c>
    </row>
    <row r="242" spans="1:29" s="81" customFormat="1" ht="26.25" x14ac:dyDescent="0.25">
      <c r="A242" s="70">
        <v>242</v>
      </c>
      <c r="B242" s="71">
        <v>30245</v>
      </c>
      <c r="C242" s="72" t="s">
        <v>508</v>
      </c>
      <c r="D242" s="84" t="s">
        <v>758</v>
      </c>
      <c r="E242" s="69" t="s">
        <v>759</v>
      </c>
      <c r="F242" s="74">
        <f>13110888.5063476/10000</f>
        <v>1311.0888506347601</v>
      </c>
      <c r="G242" s="75" t="s">
        <v>11</v>
      </c>
      <c r="H242" s="76">
        <v>0</v>
      </c>
      <c r="I242" s="76">
        <v>0</v>
      </c>
      <c r="J242" s="76">
        <f t="shared" si="37"/>
        <v>0</v>
      </c>
      <c r="K242" s="302">
        <f>ZoneInondable2022!G377</f>
        <v>29.748290999999998</v>
      </c>
      <c r="L242" s="302">
        <f>ZoneInondable2022!G532</f>
        <v>120.34622</v>
      </c>
      <c r="M242" s="302">
        <f>ZoneInondable2022!G694</f>
        <v>82.443820000000002</v>
      </c>
      <c r="N242" s="76"/>
      <c r="O242" s="76"/>
      <c r="P242" s="76"/>
      <c r="Q242" s="76">
        <f t="shared" si="34"/>
        <v>232.53833100000003</v>
      </c>
      <c r="R242" s="77">
        <f t="shared" si="32"/>
        <v>0.17736275530633736</v>
      </c>
      <c r="S242" s="324">
        <v>0.17811967952205279</v>
      </c>
      <c r="T242" s="78">
        <v>0</v>
      </c>
      <c r="U242" s="79">
        <v>0</v>
      </c>
      <c r="V242" s="80">
        <v>0</v>
      </c>
      <c r="W242" s="80">
        <v>29.459281099999998</v>
      </c>
      <c r="X242" s="80">
        <v>120.4407011</v>
      </c>
      <c r="Y242" s="80">
        <v>83.630743699999996</v>
      </c>
      <c r="Z242" s="80"/>
      <c r="AA242" s="80"/>
      <c r="AB242" s="164">
        <f t="shared" si="35"/>
        <v>233.53072589999999</v>
      </c>
      <c r="AC242" s="216">
        <f t="shared" si="33"/>
        <v>0.17811967952205279</v>
      </c>
    </row>
    <row r="243" spans="1:29" s="81" customFormat="1" ht="22.5" customHeight="1" x14ac:dyDescent="0.25">
      <c r="A243" s="70">
        <v>243</v>
      </c>
      <c r="B243" s="71">
        <v>30247</v>
      </c>
      <c r="C243" s="72" t="s">
        <v>318</v>
      </c>
      <c r="D243" s="84" t="s">
        <v>765</v>
      </c>
      <c r="E243" s="69"/>
      <c r="F243" s="74">
        <f>3674005.75390625/10000</f>
        <v>367.40057539062502</v>
      </c>
      <c r="G243" s="75" t="s">
        <v>11</v>
      </c>
      <c r="H243" s="76">
        <v>0</v>
      </c>
      <c r="I243" s="76">
        <v>0</v>
      </c>
      <c r="J243" s="76">
        <f t="shared" si="37"/>
        <v>0</v>
      </c>
      <c r="K243" s="302">
        <f>ZoneInondable2022!G372</f>
        <v>90.197630000000004</v>
      </c>
      <c r="L243" s="302">
        <f>ZoneInondable2022!G757</f>
        <v>4.9875283000000001</v>
      </c>
      <c r="M243" s="302">
        <f>ZoneInondable2022!G189</f>
        <v>12.368683000000001</v>
      </c>
      <c r="N243" s="76"/>
      <c r="O243" s="76"/>
      <c r="P243" s="76"/>
      <c r="Q243" s="76">
        <f t="shared" si="34"/>
        <v>107.5538413</v>
      </c>
      <c r="R243" s="77">
        <f t="shared" si="32"/>
        <v>0.29274271327868057</v>
      </c>
      <c r="S243" s="324">
        <v>0.2927775534479769</v>
      </c>
      <c r="T243" s="78">
        <v>0</v>
      </c>
      <c r="U243" s="79">
        <v>0</v>
      </c>
      <c r="V243" s="80">
        <v>0</v>
      </c>
      <c r="W243" s="80">
        <v>90.534438837498399</v>
      </c>
      <c r="X243" s="80">
        <v>4.94748654664778</v>
      </c>
      <c r="Y243" s="80">
        <v>12.0847162141</v>
      </c>
      <c r="Z243" s="80"/>
      <c r="AA243" s="80"/>
      <c r="AB243" s="164">
        <f t="shared" si="35"/>
        <v>107.56664159824618</v>
      </c>
      <c r="AC243" s="216">
        <f t="shared" si="33"/>
        <v>0.2927775534479769</v>
      </c>
    </row>
    <row r="244" spans="1:29" s="81" customFormat="1" ht="25.5" customHeight="1" x14ac:dyDescent="0.25">
      <c r="A244" s="70">
        <v>244</v>
      </c>
      <c r="B244" s="71">
        <v>30248</v>
      </c>
      <c r="C244" s="72" t="s">
        <v>809</v>
      </c>
      <c r="D244" s="84" t="s">
        <v>754</v>
      </c>
      <c r="E244" s="69"/>
      <c r="F244" s="74">
        <f>6010642.94677734/10000</f>
        <v>601.06429467773398</v>
      </c>
      <c r="G244" s="75" t="s">
        <v>11</v>
      </c>
      <c r="H244" s="76">
        <v>0</v>
      </c>
      <c r="I244" s="76">
        <v>0</v>
      </c>
      <c r="J244" s="76">
        <f t="shared" si="37"/>
        <v>0</v>
      </c>
      <c r="K244" s="36">
        <f>ZoneInondable2022!G149-X244</f>
        <v>19.0161868641596</v>
      </c>
      <c r="L244" s="36">
        <f>ZoneInondable2022!G51+X244</f>
        <v>11.696049335840399</v>
      </c>
      <c r="M244" s="302">
        <f>ZoneInondable2022!G21</f>
        <v>104.26223</v>
      </c>
      <c r="N244" s="76"/>
      <c r="O244" s="76"/>
      <c r="P244" s="76"/>
      <c r="Q244" s="76">
        <f t="shared" si="34"/>
        <v>134.97446619999999</v>
      </c>
      <c r="R244" s="77">
        <f t="shared" si="32"/>
        <v>0.22455911521473385</v>
      </c>
      <c r="S244" s="324">
        <v>0.2271159610088504</v>
      </c>
      <c r="T244" s="78">
        <v>0</v>
      </c>
      <c r="U244" s="79">
        <v>0</v>
      </c>
      <c r="V244" s="80">
        <v>0</v>
      </c>
      <c r="W244" s="80">
        <v>0</v>
      </c>
      <c r="X244" s="80">
        <v>11.1733231358404</v>
      </c>
      <c r="Y244" s="80">
        <v>125.33797177800001</v>
      </c>
      <c r="Z244" s="80"/>
      <c r="AA244" s="80"/>
      <c r="AB244" s="164">
        <f t="shared" si="35"/>
        <v>136.5112949138404</v>
      </c>
      <c r="AC244" s="216">
        <f t="shared" si="33"/>
        <v>0.2271159610088504</v>
      </c>
    </row>
    <row r="245" spans="1:29" s="81" customFormat="1" ht="18.75" customHeight="1" x14ac:dyDescent="0.25">
      <c r="A245" s="70">
        <v>245</v>
      </c>
      <c r="B245" s="71">
        <v>30249</v>
      </c>
      <c r="C245" s="72" t="s">
        <v>810</v>
      </c>
      <c r="D245" s="84" t="s">
        <v>758</v>
      </c>
      <c r="E245" s="69"/>
      <c r="F245" s="74">
        <f>3441349.45117187/10000</f>
        <v>344.13494511718699</v>
      </c>
      <c r="G245" s="75" t="s">
        <v>11</v>
      </c>
      <c r="H245" s="76">
        <v>0</v>
      </c>
      <c r="I245" s="76">
        <v>0</v>
      </c>
      <c r="J245" s="76">
        <f t="shared" si="37"/>
        <v>0</v>
      </c>
      <c r="K245" s="302">
        <f>ZoneInondable2022!G413</f>
        <v>57.115090000000002</v>
      </c>
      <c r="L245" s="302">
        <f>ZoneInondable2022!G201</f>
        <v>12.124313000000001</v>
      </c>
      <c r="M245" s="302">
        <f>ZoneInondable2022!G93</f>
        <v>46.733260000000001</v>
      </c>
      <c r="N245" s="76"/>
      <c r="O245" s="76"/>
      <c r="P245" s="76"/>
      <c r="Q245" s="76">
        <f t="shared" si="34"/>
        <v>115.97266300000001</v>
      </c>
      <c r="R245" s="201">
        <f t="shared" si="32"/>
        <v>0.33699763608868105</v>
      </c>
      <c r="S245" s="324">
        <v>0.40101886820301202</v>
      </c>
      <c r="T245" s="78">
        <v>0</v>
      </c>
      <c r="U245" s="79">
        <v>0</v>
      </c>
      <c r="V245" s="80">
        <v>0</v>
      </c>
      <c r="W245" s="80">
        <v>58.082766700000001</v>
      </c>
      <c r="X245" s="80">
        <v>32.067337899999998</v>
      </c>
      <c r="Y245" s="80">
        <v>26.932809999999996</v>
      </c>
      <c r="Z245" s="80">
        <v>20.921691599999999</v>
      </c>
      <c r="AA245" s="80"/>
      <c r="AB245" s="164">
        <f t="shared" si="35"/>
        <v>138.00460619999998</v>
      </c>
      <c r="AC245" s="216">
        <f t="shared" si="33"/>
        <v>0.40101886820301202</v>
      </c>
    </row>
    <row r="246" spans="1:29" s="107" customFormat="1" ht="26.25" x14ac:dyDescent="0.25">
      <c r="A246" s="104">
        <v>246</v>
      </c>
      <c r="B246" s="71">
        <v>30250</v>
      </c>
      <c r="C246" s="72" t="s">
        <v>242</v>
      </c>
      <c r="D246" s="84" t="s">
        <v>754</v>
      </c>
      <c r="E246" s="69"/>
      <c r="F246" s="74">
        <f>4264925.87841796/10000</f>
        <v>426.49258784179602</v>
      </c>
      <c r="G246" s="75" t="s">
        <v>11</v>
      </c>
      <c r="H246" s="76">
        <v>0</v>
      </c>
      <c r="I246" s="76">
        <v>0</v>
      </c>
      <c r="J246" s="76">
        <f t="shared" si="37"/>
        <v>0</v>
      </c>
      <c r="K246" s="36">
        <f>ZoneInondable2022!G125-X246</f>
        <v>48.138888546795002</v>
      </c>
      <c r="L246" s="36">
        <f>ZoneInondable2022!G611+X246</f>
        <v>20.061982753205001</v>
      </c>
      <c r="M246" s="302">
        <f>ZoneInondable2022!G606</f>
        <v>10.768174999999999</v>
      </c>
      <c r="N246" s="76"/>
      <c r="O246" s="76"/>
      <c r="P246" s="76"/>
      <c r="Q246" s="76">
        <f t="shared" si="34"/>
        <v>78.969046300000002</v>
      </c>
      <c r="R246" s="77">
        <f t="shared" si="32"/>
        <v>0.18515924672832282</v>
      </c>
      <c r="S246" s="324">
        <v>0.19300178176751492</v>
      </c>
      <c r="T246" s="105">
        <v>0</v>
      </c>
      <c r="U246" s="76">
        <v>0</v>
      </c>
      <c r="V246" s="106">
        <v>0</v>
      </c>
      <c r="W246" s="106">
        <v>45.2355891363</v>
      </c>
      <c r="X246" s="106">
        <v>19.344541453205</v>
      </c>
      <c r="Y246" s="106">
        <v>17.733698774600001</v>
      </c>
      <c r="Z246" s="106"/>
      <c r="AA246" s="106"/>
      <c r="AB246" s="164">
        <f t="shared" si="35"/>
        <v>82.313829364105004</v>
      </c>
      <c r="AC246" s="216">
        <f t="shared" si="33"/>
        <v>0.19300178176751492</v>
      </c>
    </row>
    <row r="247" spans="1:29" s="182" customFormat="1" ht="26.25" x14ac:dyDescent="0.25">
      <c r="A247" s="169">
        <v>247</v>
      </c>
      <c r="B247" s="170">
        <v>30251</v>
      </c>
      <c r="C247" s="171" t="s">
        <v>459</v>
      </c>
      <c r="D247" s="172" t="s">
        <v>773</v>
      </c>
      <c r="E247" s="173"/>
      <c r="F247" s="174">
        <f>9779244.47363281/10000</f>
        <v>977.92444736328105</v>
      </c>
      <c r="G247" s="202" t="s">
        <v>811</v>
      </c>
      <c r="H247" s="176">
        <f>T247/10000</f>
        <v>0</v>
      </c>
      <c r="I247" s="176">
        <v>0</v>
      </c>
      <c r="J247" s="176">
        <f t="shared" si="37"/>
        <v>0</v>
      </c>
      <c r="K247" s="302">
        <f>ZoneInondable2022!G666+ZoneInondable2022!G318</f>
        <v>156.13903959999999</v>
      </c>
      <c r="L247" s="302">
        <f>ZoneInondable2022!G552+ZoneInondable2022!G399</f>
        <v>46.363073239999999</v>
      </c>
      <c r="M247" s="176">
        <v>0</v>
      </c>
      <c r="N247" s="176"/>
      <c r="O247" s="176"/>
      <c r="P247" s="176"/>
      <c r="Q247" s="176">
        <f t="shared" si="34"/>
        <v>202.50211284</v>
      </c>
      <c r="R247" s="177">
        <f t="shared" si="32"/>
        <v>0.20707337196241926</v>
      </c>
      <c r="S247" s="324">
        <v>0.19913862572857505</v>
      </c>
      <c r="T247" s="178">
        <v>0</v>
      </c>
      <c r="U247" s="179">
        <v>0</v>
      </c>
      <c r="V247" s="180">
        <v>0</v>
      </c>
      <c r="W247" s="180">
        <v>150.46310459599999</v>
      </c>
      <c r="X247" s="180">
        <v>44.279425918299999</v>
      </c>
      <c r="Y247" s="180">
        <v>0</v>
      </c>
      <c r="Z247" s="180"/>
      <c r="AA247" s="180"/>
      <c r="AB247" s="181">
        <f t="shared" si="35"/>
        <v>194.7425305143</v>
      </c>
      <c r="AC247" s="216">
        <f t="shared" si="33"/>
        <v>0.19913862572857505</v>
      </c>
    </row>
    <row r="248" spans="1:29" s="28" customFormat="1" ht="26.25" x14ac:dyDescent="0.25">
      <c r="A248" s="17">
        <v>248</v>
      </c>
      <c r="B248" s="18">
        <v>30252</v>
      </c>
      <c r="C248" s="19" t="s">
        <v>701</v>
      </c>
      <c r="D248" s="20" t="s">
        <v>754</v>
      </c>
      <c r="E248" s="21" t="s">
        <v>791</v>
      </c>
      <c r="F248" s="22">
        <f>18812371.1660156/10000</f>
        <v>1881.2371166015598</v>
      </c>
      <c r="G248" s="23" t="s">
        <v>761</v>
      </c>
      <c r="H248" s="304">
        <f>ZoneInondable2022!G776</f>
        <v>7.2291635999999997</v>
      </c>
      <c r="I248" s="24">
        <v>0</v>
      </c>
      <c r="J248" s="24">
        <f t="shared" si="37"/>
        <v>0</v>
      </c>
      <c r="K248" s="24">
        <v>0</v>
      </c>
      <c r="L248" s="24">
        <v>0</v>
      </c>
      <c r="M248" s="24">
        <v>0</v>
      </c>
      <c r="N248" s="24"/>
      <c r="O248" s="24"/>
      <c r="P248" s="24"/>
      <c r="Q248" s="24">
        <f t="shared" si="34"/>
        <v>7.2291635999999997</v>
      </c>
      <c r="R248" s="85">
        <f t="shared" si="32"/>
        <v>3.8427710872829405E-3</v>
      </c>
      <c r="S248" s="324">
        <v>3.732097567558794E-3</v>
      </c>
      <c r="T248" s="25">
        <v>7.020960466870001</v>
      </c>
      <c r="U248" s="26">
        <v>0</v>
      </c>
      <c r="V248" s="27">
        <v>0</v>
      </c>
      <c r="W248" s="27">
        <v>0</v>
      </c>
      <c r="X248" s="27">
        <v>0</v>
      </c>
      <c r="Y248" s="27">
        <v>0</v>
      </c>
      <c r="Z248" s="27"/>
      <c r="AA248" s="27"/>
      <c r="AB248" s="160">
        <f t="shared" si="35"/>
        <v>7.020960466870001</v>
      </c>
      <c r="AC248" s="216">
        <f t="shared" si="33"/>
        <v>3.732097567558794E-3</v>
      </c>
    </row>
    <row r="249" spans="1:29" s="81" customFormat="1" ht="26.25" x14ac:dyDescent="0.25">
      <c r="A249" s="70">
        <v>249</v>
      </c>
      <c r="B249" s="71">
        <v>30253</v>
      </c>
      <c r="C249" s="72" t="s">
        <v>212</v>
      </c>
      <c r="D249" s="84" t="s">
        <v>765</v>
      </c>
      <c r="E249" s="89" t="s">
        <v>783</v>
      </c>
      <c r="F249" s="74">
        <f>9255552.91894531/10000</f>
        <v>925.55529189453102</v>
      </c>
      <c r="G249" s="75" t="s">
        <v>11</v>
      </c>
      <c r="H249" s="76">
        <v>0</v>
      </c>
      <c r="I249" s="76">
        <v>0</v>
      </c>
      <c r="J249" s="76">
        <f t="shared" si="37"/>
        <v>0</v>
      </c>
      <c r="K249" s="302">
        <f>ZoneInondable2022!G111</f>
        <v>25.252247000000001</v>
      </c>
      <c r="L249" s="302">
        <f>ZoneInondable2022!G603</f>
        <v>6.8970922999999997</v>
      </c>
      <c r="M249" s="302">
        <f>ZoneInondable2022!G257</f>
        <v>46.005960000000002</v>
      </c>
      <c r="N249" s="76"/>
      <c r="O249" s="76"/>
      <c r="P249" s="76"/>
      <c r="Q249" s="76">
        <f t="shared" si="34"/>
        <v>78.155299299999996</v>
      </c>
      <c r="R249" s="77">
        <f t="shared" si="32"/>
        <v>8.4441523898613244E-2</v>
      </c>
      <c r="S249" s="324">
        <v>8.2936702723098707E-2</v>
      </c>
      <c r="T249" s="78">
        <v>0</v>
      </c>
      <c r="U249" s="79">
        <v>0</v>
      </c>
      <c r="V249" s="80">
        <v>0</v>
      </c>
      <c r="W249" s="80">
        <v>24.1881939654616</v>
      </c>
      <c r="X249" s="80">
        <v>6.90296057026816</v>
      </c>
      <c r="Y249" s="80">
        <v>45.6713495619178</v>
      </c>
      <c r="Z249" s="80"/>
      <c r="AA249" s="80"/>
      <c r="AB249" s="164">
        <f t="shared" si="35"/>
        <v>76.762504097647565</v>
      </c>
      <c r="AC249" s="216">
        <f t="shared" si="33"/>
        <v>8.2936702723098707E-2</v>
      </c>
    </row>
    <row r="250" spans="1:29" s="81" customFormat="1" ht="26.25" x14ac:dyDescent="0.25">
      <c r="A250" s="70">
        <v>250</v>
      </c>
      <c r="B250" s="71">
        <v>30254</v>
      </c>
      <c r="C250" s="72" t="s">
        <v>113</v>
      </c>
      <c r="D250" s="84" t="s">
        <v>767</v>
      </c>
      <c r="E250" s="69"/>
      <c r="F250" s="74">
        <f>8339054.23486328/10000</f>
        <v>833.905423486328</v>
      </c>
      <c r="G250" s="75" t="s">
        <v>11</v>
      </c>
      <c r="H250" s="76">
        <v>0</v>
      </c>
      <c r="I250" s="76">
        <v>0</v>
      </c>
      <c r="J250" s="76">
        <f t="shared" ref="J250:J281" si="38">V250/10000</f>
        <v>0</v>
      </c>
      <c r="K250" s="302">
        <f>ZoneInondable2022!G50</f>
        <v>46.366126999999999</v>
      </c>
      <c r="L250" s="302">
        <f>ZoneInondable2022!G604</f>
        <v>30.811491</v>
      </c>
      <c r="M250" s="302">
        <f>ZoneInondable2022!G347</f>
        <v>225.67591999999999</v>
      </c>
      <c r="N250" s="76"/>
      <c r="O250" s="76"/>
      <c r="P250" s="76"/>
      <c r="Q250" s="76">
        <f t="shared" si="34"/>
        <v>302.85353799999996</v>
      </c>
      <c r="R250" s="77">
        <f t="shared" si="32"/>
        <v>0.36317492304325477</v>
      </c>
      <c r="S250" s="324">
        <v>0.36290895427299219</v>
      </c>
      <c r="T250" s="78">
        <v>0</v>
      </c>
      <c r="U250" s="79">
        <v>0</v>
      </c>
      <c r="V250" s="80">
        <v>0</v>
      </c>
      <c r="W250" s="80">
        <v>46.302338499999998</v>
      </c>
      <c r="X250" s="80">
        <v>30.782988199999998</v>
      </c>
      <c r="Y250" s="80">
        <v>225.54641850000002</v>
      </c>
      <c r="Z250" s="80"/>
      <c r="AA250" s="80"/>
      <c r="AB250" s="164">
        <f t="shared" si="35"/>
        <v>302.63174520000001</v>
      </c>
      <c r="AC250" s="216">
        <f t="shared" si="33"/>
        <v>0.36290895427299219</v>
      </c>
    </row>
    <row r="251" spans="1:29" s="81" customFormat="1" ht="26.25" x14ac:dyDescent="0.25">
      <c r="A251" s="70">
        <v>251</v>
      </c>
      <c r="B251" s="71">
        <v>30255</v>
      </c>
      <c r="C251" s="72" t="s">
        <v>79</v>
      </c>
      <c r="D251" s="84" t="s">
        <v>754</v>
      </c>
      <c r="E251" s="69"/>
      <c r="F251" s="74">
        <f>12137543.277832/10000</f>
        <v>1213.7543277831999</v>
      </c>
      <c r="G251" s="75" t="s">
        <v>11</v>
      </c>
      <c r="H251" s="76">
        <v>0</v>
      </c>
      <c r="I251" s="76">
        <v>0</v>
      </c>
      <c r="J251" s="76">
        <f t="shared" si="38"/>
        <v>0</v>
      </c>
      <c r="K251" s="36">
        <f>ZoneInondable2022!G468+ZoneInondable2022!G709-L251</f>
        <v>177.224035462242</v>
      </c>
      <c r="L251" s="36">
        <f>X251</f>
        <v>161.670124537758</v>
      </c>
      <c r="M251" s="302">
        <f>ZoneInondable2022!G31</f>
        <v>113.05837</v>
      </c>
      <c r="N251" s="76"/>
      <c r="O251" s="76"/>
      <c r="P251" s="76"/>
      <c r="Q251" s="76">
        <f t="shared" si="34"/>
        <v>451.95253000000002</v>
      </c>
      <c r="R251" s="77">
        <f t="shared" si="32"/>
        <v>0.37235915016298715</v>
      </c>
      <c r="S251" s="324">
        <v>0.38196544419761702</v>
      </c>
      <c r="T251" s="78">
        <v>0</v>
      </c>
      <c r="U251" s="79">
        <v>0</v>
      </c>
      <c r="V251" s="80">
        <v>0</v>
      </c>
      <c r="W251" s="80">
        <v>178.25312861561599</v>
      </c>
      <c r="X251" s="80">
        <v>161.670124537758</v>
      </c>
      <c r="Y251" s="80">
        <v>123.688957805116</v>
      </c>
      <c r="Z251" s="80"/>
      <c r="AA251" s="80"/>
      <c r="AB251" s="164">
        <f t="shared" si="35"/>
        <v>463.61221095848998</v>
      </c>
      <c r="AC251" s="216">
        <f t="shared" si="33"/>
        <v>0.38196544419761702</v>
      </c>
    </row>
    <row r="252" spans="1:29" s="81" customFormat="1" ht="21" customHeight="1" x14ac:dyDescent="0.25">
      <c r="A252" s="70">
        <v>252</v>
      </c>
      <c r="B252" s="71">
        <v>30256</v>
      </c>
      <c r="C252" s="72" t="s">
        <v>400</v>
      </c>
      <c r="D252" s="84" t="s">
        <v>765</v>
      </c>
      <c r="E252" s="69"/>
      <c r="F252" s="74">
        <f>11811526.2099609/10000</f>
        <v>1181.15262099609</v>
      </c>
      <c r="G252" s="75" t="s">
        <v>11</v>
      </c>
      <c r="H252" s="76">
        <v>0</v>
      </c>
      <c r="I252" s="76">
        <v>0</v>
      </c>
      <c r="J252" s="76">
        <f t="shared" si="38"/>
        <v>0</v>
      </c>
      <c r="K252" s="302">
        <f>ZoneInondable2022!G252</f>
        <v>139.66968</v>
      </c>
      <c r="L252" s="302">
        <f>ZoneInondable2022!G624</f>
        <v>5.8942823000000004</v>
      </c>
      <c r="M252" s="302">
        <f>ZoneInondable2022!G831</f>
        <v>9.2203769999999992</v>
      </c>
      <c r="N252" s="76"/>
      <c r="O252" s="76"/>
      <c r="P252" s="76"/>
      <c r="Q252" s="76">
        <f t="shared" si="34"/>
        <v>154.7843393</v>
      </c>
      <c r="R252" s="77">
        <f t="shared" si="32"/>
        <v>0.1310451643154017</v>
      </c>
      <c r="S252" s="324">
        <v>0.1302768963975916</v>
      </c>
      <c r="T252" s="78">
        <v>0</v>
      </c>
      <c r="U252" s="79">
        <v>0</v>
      </c>
      <c r="V252" s="80">
        <v>0</v>
      </c>
      <c r="W252" s="80">
        <v>138.77945609087499</v>
      </c>
      <c r="X252" s="80">
        <v>5.8737289096363998</v>
      </c>
      <c r="Y252" s="80">
        <v>9.22371263474</v>
      </c>
      <c r="Z252" s="80"/>
      <c r="AA252" s="80"/>
      <c r="AB252" s="164">
        <f t="shared" si="35"/>
        <v>153.8768976352514</v>
      </c>
      <c r="AC252" s="216">
        <f t="shared" si="33"/>
        <v>0.1302768963975916</v>
      </c>
    </row>
    <row r="253" spans="1:29" s="81" customFormat="1" ht="24.75" customHeight="1" x14ac:dyDescent="0.25">
      <c r="A253" s="70">
        <v>253</v>
      </c>
      <c r="B253" s="71">
        <v>30257</v>
      </c>
      <c r="C253" s="72" t="s">
        <v>485</v>
      </c>
      <c r="D253" s="84" t="s">
        <v>758</v>
      </c>
      <c r="E253" s="69"/>
      <c r="F253" s="74">
        <f>7071064.17871093/10000</f>
        <v>707.10641787109296</v>
      </c>
      <c r="G253" s="75" t="s">
        <v>11</v>
      </c>
      <c r="H253" s="76">
        <v>0</v>
      </c>
      <c r="I253" s="76">
        <v>0</v>
      </c>
      <c r="J253" s="76">
        <f t="shared" si="38"/>
        <v>0</v>
      </c>
      <c r="K253" s="302">
        <f>ZoneInondable2022!G341</f>
        <v>83.933334000000002</v>
      </c>
      <c r="L253" s="302">
        <f>ZoneInondable2022!G544</f>
        <v>278.26407</v>
      </c>
      <c r="M253" s="302">
        <f>ZoneInondable2022!G716</f>
        <v>40.855857999999998</v>
      </c>
      <c r="N253" s="76"/>
      <c r="O253" s="76"/>
      <c r="P253" s="76"/>
      <c r="Q253" s="76">
        <f t="shared" si="34"/>
        <v>403.05326200000002</v>
      </c>
      <c r="R253" s="77">
        <f t="shared" si="32"/>
        <v>0.57000368235022514</v>
      </c>
      <c r="S253" s="324">
        <v>0.56840387088421762</v>
      </c>
      <c r="T253" s="78">
        <v>0</v>
      </c>
      <c r="U253" s="79">
        <v>0</v>
      </c>
      <c r="V253" s="80">
        <v>0</v>
      </c>
      <c r="W253" s="80">
        <v>82.490910015598303</v>
      </c>
      <c r="X253" s="80">
        <v>278.97039705260403</v>
      </c>
      <c r="Y253" s="80">
        <v>40.460717976799998</v>
      </c>
      <c r="Z253" s="80"/>
      <c r="AA253" s="80"/>
      <c r="AB253" s="164">
        <f t="shared" si="35"/>
        <v>401.92202504500233</v>
      </c>
      <c r="AC253" s="216">
        <f t="shared" si="33"/>
        <v>0.56840387088421762</v>
      </c>
    </row>
    <row r="254" spans="1:29" s="81" customFormat="1" ht="21" customHeight="1" x14ac:dyDescent="0.25">
      <c r="A254" s="70">
        <v>254</v>
      </c>
      <c r="B254" s="71">
        <v>30258</v>
      </c>
      <c r="C254" s="72" t="s">
        <v>154</v>
      </c>
      <c r="D254" s="165" t="s">
        <v>756</v>
      </c>
      <c r="E254" s="69" t="s">
        <v>775</v>
      </c>
      <c r="F254" s="74">
        <f>152188717.112792/10000</f>
        <v>15218.871711279198</v>
      </c>
      <c r="G254" s="75" t="s">
        <v>11</v>
      </c>
      <c r="H254" s="76">
        <v>0</v>
      </c>
      <c r="I254" s="76">
        <v>0</v>
      </c>
      <c r="J254" s="76">
        <f t="shared" si="38"/>
        <v>0</v>
      </c>
      <c r="K254" s="302">
        <f>ZoneInondable2022!G73</f>
        <v>8718.2389999999996</v>
      </c>
      <c r="L254" s="302">
        <f>ZoneInondable2022!G847</f>
        <v>194.06586999999999</v>
      </c>
      <c r="M254" s="302">
        <f>ZoneInondable2022!G846</f>
        <v>146.98133999999999</v>
      </c>
      <c r="N254" s="76"/>
      <c r="O254" s="76"/>
      <c r="P254" s="76"/>
      <c r="Q254" s="76">
        <f t="shared" si="34"/>
        <v>9059.2862100000002</v>
      </c>
      <c r="R254" s="77">
        <f t="shared" si="32"/>
        <v>0.59526661252331015</v>
      </c>
      <c r="S254" s="324">
        <v>0.59661111806801725</v>
      </c>
      <c r="T254" s="78">
        <v>0</v>
      </c>
      <c r="U254" s="79">
        <v>0</v>
      </c>
      <c r="V254" s="80">
        <v>0</v>
      </c>
      <c r="W254" s="80">
        <v>8738.6076680000006</v>
      </c>
      <c r="X254" s="80">
        <v>194.109431</v>
      </c>
      <c r="Y254" s="80">
        <v>147.03096839999998</v>
      </c>
      <c r="Z254" s="80"/>
      <c r="AA254" s="80"/>
      <c r="AB254" s="164">
        <f t="shared" si="35"/>
        <v>9079.7480674000017</v>
      </c>
      <c r="AC254" s="216">
        <f t="shared" si="33"/>
        <v>0.59661111806801725</v>
      </c>
    </row>
    <row r="255" spans="1:29" s="81" customFormat="1" ht="26.25" x14ac:dyDescent="0.25">
      <c r="A255" s="70">
        <v>255</v>
      </c>
      <c r="B255" s="71">
        <v>30259</v>
      </c>
      <c r="C255" s="72" t="s">
        <v>172</v>
      </c>
      <c r="D255" s="84" t="s">
        <v>754</v>
      </c>
      <c r="E255" s="69"/>
      <c r="F255" s="74">
        <f>13981146.8935546/10000</f>
        <v>1398.1146893554601</v>
      </c>
      <c r="G255" s="75" t="s">
        <v>11</v>
      </c>
      <c r="H255" s="76">
        <v>0</v>
      </c>
      <c r="I255" s="76">
        <v>0</v>
      </c>
      <c r="J255" s="76">
        <f t="shared" si="38"/>
        <v>0</v>
      </c>
      <c r="K255" s="302">
        <f>ZoneInondable2022!G85</f>
        <v>315.96838000000002</v>
      </c>
      <c r="L255" s="302">
        <f>ZoneInondable2022!G822</f>
        <v>30.172056000000001</v>
      </c>
      <c r="M255" s="302">
        <f>ZoneInondable2022!G392</f>
        <v>107.45724</v>
      </c>
      <c r="N255" s="76"/>
      <c r="O255" s="76"/>
      <c r="P255" s="76"/>
      <c r="Q255" s="76">
        <f t="shared" si="34"/>
        <v>453.59767600000004</v>
      </c>
      <c r="R255" s="77">
        <f t="shared" si="32"/>
        <v>0.32443524086647818</v>
      </c>
      <c r="S255" s="324">
        <v>0.3255225076185711</v>
      </c>
      <c r="T255" s="78">
        <v>0</v>
      </c>
      <c r="U255" s="79">
        <v>0</v>
      </c>
      <c r="V255" s="80">
        <v>0</v>
      </c>
      <c r="W255" s="80">
        <v>317.03479334639201</v>
      </c>
      <c r="X255" s="80">
        <v>30.372691686956898</v>
      </c>
      <c r="Y255" s="80">
        <v>107.71031458399999</v>
      </c>
      <c r="Z255" s="80"/>
      <c r="AA255" s="80"/>
      <c r="AB255" s="164">
        <f t="shared" si="35"/>
        <v>455.11779961734891</v>
      </c>
      <c r="AC255" s="216">
        <f t="shared" si="33"/>
        <v>0.3255225076185711</v>
      </c>
    </row>
    <row r="256" spans="1:29" s="81" customFormat="1" ht="26.25" x14ac:dyDescent="0.25">
      <c r="A256" s="70">
        <v>256</v>
      </c>
      <c r="B256" s="71">
        <v>30260</v>
      </c>
      <c r="C256" s="72" t="s">
        <v>109</v>
      </c>
      <c r="D256" s="84" t="s">
        <v>754</v>
      </c>
      <c r="E256" s="69"/>
      <c r="F256" s="74">
        <f>16823580.6137695/10000</f>
        <v>1682.3580613769502</v>
      </c>
      <c r="G256" s="75" t="s">
        <v>11</v>
      </c>
      <c r="H256" s="76">
        <v>0</v>
      </c>
      <c r="I256" s="76">
        <v>0</v>
      </c>
      <c r="J256" s="76">
        <f t="shared" si="38"/>
        <v>0</v>
      </c>
      <c r="K256" s="302">
        <f>ZoneInondable2022!G852</f>
        <v>84.399215999999996</v>
      </c>
      <c r="L256" s="302">
        <f>ZoneInondable2022!G48</f>
        <v>202.28813</v>
      </c>
      <c r="M256" s="302">
        <f>ZoneInondable2022!G358</f>
        <v>76.682069999999996</v>
      </c>
      <c r="N256" s="76"/>
      <c r="O256" s="76"/>
      <c r="P256" s="76"/>
      <c r="Q256" s="76">
        <f t="shared" si="34"/>
        <v>363.369416</v>
      </c>
      <c r="R256" s="77">
        <f t="shared" si="32"/>
        <v>0.21598815635156471</v>
      </c>
      <c r="S256" s="324">
        <v>0.21874168522651091</v>
      </c>
      <c r="T256" s="78">
        <v>0</v>
      </c>
      <c r="U256" s="79">
        <v>0</v>
      </c>
      <c r="V256" s="80">
        <v>0</v>
      </c>
      <c r="W256" s="80">
        <v>87.57339300000001</v>
      </c>
      <c r="X256" s="80">
        <v>203.40369530000001</v>
      </c>
      <c r="Y256" s="80">
        <v>77.024749200000002</v>
      </c>
      <c r="Z256" s="80"/>
      <c r="AA256" s="80"/>
      <c r="AB256" s="164">
        <f t="shared" si="35"/>
        <v>368.00183749999997</v>
      </c>
      <c r="AC256" s="216">
        <f t="shared" si="33"/>
        <v>0.21874168522651091</v>
      </c>
    </row>
    <row r="257" spans="1:29" s="81" customFormat="1" ht="39" x14ac:dyDescent="0.25">
      <c r="A257" s="70">
        <v>257</v>
      </c>
      <c r="B257" s="71">
        <v>30261</v>
      </c>
      <c r="C257" s="72" t="s">
        <v>54</v>
      </c>
      <c r="D257" s="84" t="s">
        <v>754</v>
      </c>
      <c r="E257" s="69"/>
      <c r="F257" s="74">
        <f>6155096.24365234/10000</f>
        <v>615.509624365234</v>
      </c>
      <c r="G257" s="75" t="s">
        <v>11</v>
      </c>
      <c r="H257" s="76">
        <v>0</v>
      </c>
      <c r="I257" s="76">
        <v>0</v>
      </c>
      <c r="J257" s="76">
        <f t="shared" si="38"/>
        <v>0</v>
      </c>
      <c r="K257" s="36">
        <f>ZoneInondable2022!G769-X257</f>
        <v>31.328522407802197</v>
      </c>
      <c r="L257" s="36">
        <f>ZoneInondable2022!G20+X257</f>
        <v>34.148477892197803</v>
      </c>
      <c r="M257" s="302">
        <f>ZoneInondable2022!G404</f>
        <v>38.303289999999997</v>
      </c>
      <c r="N257" s="76"/>
      <c r="O257" s="76"/>
      <c r="P257" s="76"/>
      <c r="Q257" s="76">
        <f t="shared" si="34"/>
        <v>103.78029029999999</v>
      </c>
      <c r="R257" s="77">
        <f t="shared" si="32"/>
        <v>0.16860872063052965</v>
      </c>
      <c r="S257" s="324">
        <v>0.15922787498825913</v>
      </c>
      <c r="T257" s="78">
        <v>0</v>
      </c>
      <c r="U257" s="79">
        <v>0</v>
      </c>
      <c r="V257" s="80">
        <v>0</v>
      </c>
      <c r="W257" s="80">
        <v>18.2130188008</v>
      </c>
      <c r="X257" s="80">
        <v>32.5211895921978</v>
      </c>
      <c r="Y257" s="80">
        <v>47.272081129500002</v>
      </c>
      <c r="Z257" s="80"/>
      <c r="AA257" s="80"/>
      <c r="AB257" s="164">
        <f t="shared" si="35"/>
        <v>98.006289522497809</v>
      </c>
      <c r="AC257" s="216">
        <f t="shared" si="33"/>
        <v>0.15922787498825913</v>
      </c>
    </row>
    <row r="258" spans="1:29" s="102" customFormat="1" ht="26.25" x14ac:dyDescent="0.25">
      <c r="A258" s="91">
        <v>258</v>
      </c>
      <c r="B258" s="92">
        <v>30262</v>
      </c>
      <c r="C258" s="93" t="s">
        <v>812</v>
      </c>
      <c r="D258" s="94" t="s">
        <v>754</v>
      </c>
      <c r="E258" s="95"/>
      <c r="F258" s="96">
        <f>4095857.59179687/10000</f>
        <v>409.58575917968699</v>
      </c>
      <c r="G258" s="97" t="s">
        <v>837</v>
      </c>
      <c r="H258" s="98">
        <f>T258/10000</f>
        <v>0</v>
      </c>
      <c r="I258" s="98">
        <v>0</v>
      </c>
      <c r="J258" s="302">
        <f>ZoneInondable2022!G225</f>
        <v>7.8998379999999999</v>
      </c>
      <c r="K258" s="302">
        <f>ZoneInondable2022!G485</f>
        <v>7.4040169999999996</v>
      </c>
      <c r="L258" s="302">
        <f>ZoneInondable2022!G401</f>
        <v>10.405861</v>
      </c>
      <c r="M258" s="302">
        <f>ZoneInondable2022!G426</f>
        <v>16.670850000000002</v>
      </c>
      <c r="N258" s="98"/>
      <c r="O258" s="98"/>
      <c r="P258" s="98"/>
      <c r="Q258" s="98">
        <f t="shared" si="34"/>
        <v>42.380566000000002</v>
      </c>
      <c r="R258" s="90">
        <f t="shared" si="32"/>
        <v>0.10347177617913095</v>
      </c>
      <c r="S258" s="324">
        <v>0</v>
      </c>
      <c r="T258" s="99">
        <v>0</v>
      </c>
      <c r="U258" s="100">
        <v>0</v>
      </c>
      <c r="V258" s="101">
        <v>0</v>
      </c>
      <c r="W258" s="101">
        <v>0</v>
      </c>
      <c r="X258" s="101">
        <v>0</v>
      </c>
      <c r="Y258" s="101">
        <v>0</v>
      </c>
      <c r="Z258" s="101"/>
      <c r="AA258" s="101"/>
      <c r="AB258" s="161">
        <f t="shared" si="35"/>
        <v>0</v>
      </c>
      <c r="AC258" s="216">
        <f t="shared" si="33"/>
        <v>0</v>
      </c>
    </row>
    <row r="259" spans="1:29" s="28" customFormat="1" ht="39" x14ac:dyDescent="0.25">
      <c r="A259" s="17">
        <v>259</v>
      </c>
      <c r="B259" s="18">
        <v>30263</v>
      </c>
      <c r="C259" s="19" t="s">
        <v>546</v>
      </c>
      <c r="D259" s="20" t="s">
        <v>755</v>
      </c>
      <c r="E259" s="21"/>
      <c r="F259" s="22">
        <f>29420362.4799804/10000</f>
        <v>2942.0362479980404</v>
      </c>
      <c r="G259" s="23" t="s">
        <v>761</v>
      </c>
      <c r="H259" s="302">
        <f>ZoneInondable2022!G455</f>
        <v>268.44794000000002</v>
      </c>
      <c r="I259" s="24">
        <v>0</v>
      </c>
      <c r="J259" s="24">
        <f t="shared" si="38"/>
        <v>0</v>
      </c>
      <c r="K259" s="24">
        <v>0</v>
      </c>
      <c r="L259" s="24">
        <v>0</v>
      </c>
      <c r="M259" s="24">
        <v>0</v>
      </c>
      <c r="N259" s="24"/>
      <c r="O259" s="24"/>
      <c r="P259" s="24"/>
      <c r="Q259" s="24">
        <f t="shared" si="34"/>
        <v>268.44794000000002</v>
      </c>
      <c r="R259" s="85">
        <f t="shared" ref="R259:R322" si="39">Q259/F259</f>
        <v>9.1245626284404233E-2</v>
      </c>
      <c r="S259" s="324">
        <v>9.395641498636427E-2</v>
      </c>
      <c r="T259" s="25">
        <v>276.42317862183</v>
      </c>
      <c r="U259" s="26">
        <v>0</v>
      </c>
      <c r="V259" s="27">
        <v>0</v>
      </c>
      <c r="W259" s="27">
        <v>0</v>
      </c>
      <c r="X259" s="27">
        <v>0</v>
      </c>
      <c r="Y259" s="27">
        <v>0</v>
      </c>
      <c r="Z259" s="27"/>
      <c r="AA259" s="27"/>
      <c r="AB259" s="160">
        <f t="shared" si="35"/>
        <v>276.42317862183</v>
      </c>
      <c r="AC259" s="216">
        <f t="shared" ref="AC259:AC322" si="40">AB259/F259</f>
        <v>9.395641498636427E-2</v>
      </c>
    </row>
    <row r="260" spans="1:29" s="81" customFormat="1" ht="26.25" x14ac:dyDescent="0.25">
      <c r="A260" s="70">
        <v>260</v>
      </c>
      <c r="B260" s="71">
        <v>30264</v>
      </c>
      <c r="C260" s="72" t="s">
        <v>693</v>
      </c>
      <c r="D260" s="84" t="s">
        <v>754</v>
      </c>
      <c r="E260" s="69"/>
      <c r="F260" s="74">
        <f>6824085.11669921/10000</f>
        <v>682.40851166992104</v>
      </c>
      <c r="G260" s="75" t="s">
        <v>11</v>
      </c>
      <c r="H260" s="76">
        <v>0</v>
      </c>
      <c r="I260" s="76">
        <v>0</v>
      </c>
      <c r="J260" s="76">
        <f t="shared" si="38"/>
        <v>0</v>
      </c>
      <c r="K260" s="36">
        <f>ZoneInondable2022!G853-X260</f>
        <v>25.107619807832705</v>
      </c>
      <c r="L260" s="36">
        <f>X260</f>
        <v>19.627007192167298</v>
      </c>
      <c r="M260" s="302">
        <f>ZoneInondable2022!G752</f>
        <v>8.5560290000000006</v>
      </c>
      <c r="N260" s="76"/>
      <c r="O260" s="76"/>
      <c r="P260" s="76"/>
      <c r="Q260" s="76">
        <f t="shared" ref="Q260:Q323" si="41">SUM(H260:P260)</f>
        <v>53.290656000000006</v>
      </c>
      <c r="R260" s="77">
        <f t="shared" si="39"/>
        <v>7.8092015396455869E-2</v>
      </c>
      <c r="S260" s="324">
        <v>9.5634733183316598E-2</v>
      </c>
      <c r="T260" s="78">
        <v>0</v>
      </c>
      <c r="U260" s="79">
        <v>0</v>
      </c>
      <c r="V260" s="80">
        <v>0</v>
      </c>
      <c r="W260" s="80">
        <v>33.3744510522098</v>
      </c>
      <c r="X260" s="80">
        <v>19.627007192167298</v>
      </c>
      <c r="Y260" s="80">
        <v>12.260497691199999</v>
      </c>
      <c r="Z260" s="80"/>
      <c r="AA260" s="80"/>
      <c r="AB260" s="164">
        <f t="shared" ref="AB260:AB323" si="42">SUM(T260+U260+V260+W260+X260+Y260+Z260+AA260)</f>
        <v>65.261955935577092</v>
      </c>
      <c r="AC260" s="216">
        <f t="shared" si="40"/>
        <v>9.5634733183316598E-2</v>
      </c>
    </row>
    <row r="261" spans="1:29" s="28" customFormat="1" ht="26.25" x14ac:dyDescent="0.25">
      <c r="A261" s="17">
        <v>261</v>
      </c>
      <c r="B261" s="18">
        <v>30265</v>
      </c>
      <c r="C261" s="19" t="s">
        <v>608</v>
      </c>
      <c r="D261" s="20" t="s">
        <v>755</v>
      </c>
      <c r="E261" s="21"/>
      <c r="F261" s="22">
        <f>5611766.57421875/10000</f>
        <v>561.17665742187501</v>
      </c>
      <c r="G261" s="23" t="s">
        <v>761</v>
      </c>
      <c r="H261" s="302">
        <f>ZoneInondable2022!G608</f>
        <v>77.932940000000002</v>
      </c>
      <c r="I261" s="24">
        <v>0</v>
      </c>
      <c r="J261" s="24">
        <f t="shared" si="38"/>
        <v>0</v>
      </c>
      <c r="K261" s="24">
        <v>0</v>
      </c>
      <c r="L261" s="24">
        <v>0</v>
      </c>
      <c r="M261" s="24">
        <v>0</v>
      </c>
      <c r="N261" s="24"/>
      <c r="O261" s="24"/>
      <c r="P261" s="24"/>
      <c r="Q261" s="24">
        <f t="shared" si="41"/>
        <v>77.932940000000002</v>
      </c>
      <c r="R261" s="85">
        <f t="shared" si="39"/>
        <v>0.13887416550437959</v>
      </c>
      <c r="S261" s="324">
        <v>0.12893870740172994</v>
      </c>
      <c r="T261" s="25">
        <v>72.357392831999988</v>
      </c>
      <c r="U261" s="26">
        <v>0</v>
      </c>
      <c r="V261" s="27">
        <v>0</v>
      </c>
      <c r="W261" s="27">
        <v>0</v>
      </c>
      <c r="X261" s="27">
        <v>0</v>
      </c>
      <c r="Y261" s="27">
        <v>0</v>
      </c>
      <c r="Z261" s="27"/>
      <c r="AA261" s="27"/>
      <c r="AB261" s="160">
        <f t="shared" si="42"/>
        <v>72.357392831999988</v>
      </c>
      <c r="AC261" s="216">
        <f t="shared" si="40"/>
        <v>0.12893870740172994</v>
      </c>
    </row>
    <row r="262" spans="1:29" s="81" customFormat="1" ht="39" x14ac:dyDescent="0.25">
      <c r="A262" s="70">
        <v>262</v>
      </c>
      <c r="B262" s="71">
        <v>30266</v>
      </c>
      <c r="C262" s="72" t="s">
        <v>152</v>
      </c>
      <c r="D262" s="84" t="s">
        <v>765</v>
      </c>
      <c r="E262" s="69"/>
      <c r="F262" s="74">
        <f>17602439.8305664/10000</f>
        <v>1760.24398305664</v>
      </c>
      <c r="G262" s="75" t="s">
        <v>11</v>
      </c>
      <c r="H262" s="76">
        <v>0</v>
      </c>
      <c r="I262" s="76">
        <v>0</v>
      </c>
      <c r="J262" s="76">
        <f t="shared" si="38"/>
        <v>0</v>
      </c>
      <c r="K262" s="302">
        <f>ZoneInondable2022!G72</f>
        <v>218.15826000000001</v>
      </c>
      <c r="L262" s="302">
        <f>ZoneInondable2022!G270</f>
        <v>24.044107</v>
      </c>
      <c r="M262" s="302">
        <f>ZoneInondable2022!G851</f>
        <v>37.864178000000003</v>
      </c>
      <c r="N262" s="76"/>
      <c r="O262" s="76"/>
      <c r="P262" s="76"/>
      <c r="Q262" s="76">
        <f t="shared" si="41"/>
        <v>280.06654500000002</v>
      </c>
      <c r="R262" s="77">
        <f t="shared" si="39"/>
        <v>0.15910666231261206</v>
      </c>
      <c r="S262" s="324">
        <v>0.16115255262368389</v>
      </c>
      <c r="T262" s="78">
        <v>0</v>
      </c>
      <c r="U262" s="79">
        <v>0</v>
      </c>
      <c r="V262" s="80">
        <v>0</v>
      </c>
      <c r="W262" s="80">
        <v>221.62184988321098</v>
      </c>
      <c r="X262" s="80">
        <v>24.0924612063471</v>
      </c>
      <c r="Y262" s="80">
        <v>37.953500020500002</v>
      </c>
      <c r="Z262" s="80"/>
      <c r="AA262" s="80"/>
      <c r="AB262" s="164">
        <f t="shared" si="42"/>
        <v>283.6678111100581</v>
      </c>
      <c r="AC262" s="216">
        <f t="shared" si="40"/>
        <v>0.16115255262368389</v>
      </c>
    </row>
    <row r="263" spans="1:29" s="28" customFormat="1" ht="26.25" x14ac:dyDescent="0.25">
      <c r="A263" s="17">
        <v>263</v>
      </c>
      <c r="B263" s="18">
        <v>30267</v>
      </c>
      <c r="C263" s="19" t="s">
        <v>721</v>
      </c>
      <c r="D263" s="20" t="s">
        <v>755</v>
      </c>
      <c r="E263" s="21"/>
      <c r="F263" s="22">
        <f>8312985.81933593/10000</f>
        <v>831.29858193359303</v>
      </c>
      <c r="G263" s="23" t="s">
        <v>761</v>
      </c>
      <c r="H263" s="302">
        <f>ZoneInondable2022!G830</f>
        <v>84.962379999999996</v>
      </c>
      <c r="I263" s="24">
        <v>0</v>
      </c>
      <c r="J263" s="24">
        <f t="shared" si="38"/>
        <v>0</v>
      </c>
      <c r="K263" s="24">
        <v>0</v>
      </c>
      <c r="L263" s="24">
        <v>0</v>
      </c>
      <c r="M263" s="24">
        <v>0</v>
      </c>
      <c r="N263" s="24"/>
      <c r="O263" s="24"/>
      <c r="P263" s="24"/>
      <c r="Q263" s="24">
        <f t="shared" si="41"/>
        <v>84.962379999999996</v>
      </c>
      <c r="R263" s="85">
        <f t="shared" si="39"/>
        <v>0.10220440867633657</v>
      </c>
      <c r="S263" s="324">
        <v>0.10590604463756069</v>
      </c>
      <c r="T263" s="25">
        <v>88.039544725400006</v>
      </c>
      <c r="U263" s="26">
        <v>0</v>
      </c>
      <c r="V263" s="27">
        <v>0</v>
      </c>
      <c r="W263" s="27">
        <v>0</v>
      </c>
      <c r="X263" s="27">
        <v>0</v>
      </c>
      <c r="Y263" s="27">
        <v>0</v>
      </c>
      <c r="Z263" s="27"/>
      <c r="AA263" s="27"/>
      <c r="AB263" s="160">
        <f t="shared" si="42"/>
        <v>88.039544725400006</v>
      </c>
      <c r="AC263" s="216">
        <f t="shared" si="40"/>
        <v>0.10590604463756069</v>
      </c>
    </row>
    <row r="264" spans="1:29" s="81" customFormat="1" ht="26.25" x14ac:dyDescent="0.25">
      <c r="A264" s="70">
        <v>264</v>
      </c>
      <c r="B264" s="71">
        <v>30268</v>
      </c>
      <c r="C264" s="72" t="s">
        <v>433</v>
      </c>
      <c r="D264" s="84" t="s">
        <v>765</v>
      </c>
      <c r="E264" s="69"/>
      <c r="F264" s="74">
        <f>8265380.42773437/10000</f>
        <v>826.53804277343704</v>
      </c>
      <c r="G264" s="75" t="s">
        <v>11</v>
      </c>
      <c r="H264" s="76">
        <v>0</v>
      </c>
      <c r="I264" s="76">
        <v>0</v>
      </c>
      <c r="J264" s="76">
        <f t="shared" si="38"/>
        <v>0</v>
      </c>
      <c r="K264" s="302">
        <f>ZoneInondable2022!G279</f>
        <v>32.427067000000001</v>
      </c>
      <c r="L264" s="302">
        <f>ZoneInondable2022!G806</f>
        <v>3.4753299000000002</v>
      </c>
      <c r="M264" s="302">
        <f>ZoneInondable2022!G542</f>
        <v>11.589373</v>
      </c>
      <c r="N264" s="76"/>
      <c r="O264" s="76"/>
      <c r="P264" s="76"/>
      <c r="Q264" s="76">
        <f t="shared" si="41"/>
        <v>47.491769900000001</v>
      </c>
      <c r="R264" s="77">
        <f t="shared" si="39"/>
        <v>5.745866184288629E-2</v>
      </c>
      <c r="S264" s="324">
        <v>5.787620328743958E-2</v>
      </c>
      <c r="T264" s="78">
        <v>0</v>
      </c>
      <c r="U264" s="79">
        <v>0</v>
      </c>
      <c r="V264" s="80">
        <v>0</v>
      </c>
      <c r="W264" s="80">
        <v>32.784912150203695</v>
      </c>
      <c r="X264" s="80">
        <v>3.4736294873541804</v>
      </c>
      <c r="Y264" s="80">
        <v>11.578342150799999</v>
      </c>
      <c r="Z264" s="80"/>
      <c r="AA264" s="80"/>
      <c r="AB264" s="164">
        <f t="shared" si="42"/>
        <v>47.836883788357873</v>
      </c>
      <c r="AC264" s="216">
        <f t="shared" si="40"/>
        <v>5.787620328743958E-2</v>
      </c>
    </row>
    <row r="265" spans="1:29" s="28" customFormat="1" ht="26.25" x14ac:dyDescent="0.25">
      <c r="A265" s="17">
        <v>265</v>
      </c>
      <c r="B265" s="18">
        <v>30269</v>
      </c>
      <c r="C265" s="19" t="s">
        <v>457</v>
      </c>
      <c r="D265" s="20" t="s">
        <v>754</v>
      </c>
      <c r="E265" s="21"/>
      <c r="F265" s="22">
        <f>41496264.5356445/10000</f>
        <v>4149.6264535644505</v>
      </c>
      <c r="G265" s="23" t="s">
        <v>761</v>
      </c>
      <c r="H265" s="302">
        <f>ZoneInondable2022!G316</f>
        <v>259.17421999999999</v>
      </c>
      <c r="I265" s="24">
        <v>0</v>
      </c>
      <c r="J265" s="24">
        <f t="shared" si="38"/>
        <v>0</v>
      </c>
      <c r="K265" s="24">
        <v>0</v>
      </c>
      <c r="L265" s="24">
        <v>0</v>
      </c>
      <c r="M265" s="24">
        <v>0</v>
      </c>
      <c r="N265" s="24"/>
      <c r="O265" s="24"/>
      <c r="P265" s="24"/>
      <c r="Q265" s="24">
        <f t="shared" si="41"/>
        <v>259.17421999999999</v>
      </c>
      <c r="R265" s="85">
        <f t="shared" si="39"/>
        <v>6.2457241127662044E-2</v>
      </c>
      <c r="S265" s="324">
        <v>6.2751859312860342E-2</v>
      </c>
      <c r="T265" s="25">
        <v>260.39677541499998</v>
      </c>
      <c r="U265" s="26">
        <v>0</v>
      </c>
      <c r="V265" s="27">
        <v>0</v>
      </c>
      <c r="W265" s="27">
        <v>0</v>
      </c>
      <c r="X265" s="27">
        <v>0</v>
      </c>
      <c r="Y265" s="27">
        <v>0</v>
      </c>
      <c r="Z265" s="27"/>
      <c r="AA265" s="27"/>
      <c r="AB265" s="160">
        <f t="shared" si="42"/>
        <v>260.39677541499998</v>
      </c>
      <c r="AC265" s="216">
        <f t="shared" si="40"/>
        <v>6.2751859312860342E-2</v>
      </c>
    </row>
    <row r="266" spans="1:29" s="81" customFormat="1" ht="26.25" x14ac:dyDescent="0.25">
      <c r="A266" s="70">
        <v>266</v>
      </c>
      <c r="B266" s="71">
        <v>30270</v>
      </c>
      <c r="C266" s="72" t="s">
        <v>198</v>
      </c>
      <c r="D266" s="84" t="s">
        <v>754</v>
      </c>
      <c r="E266" s="69"/>
      <c r="F266" s="74">
        <f>13929734.4086914/10000</f>
        <v>1392.9734408691402</v>
      </c>
      <c r="G266" s="75" t="s">
        <v>11</v>
      </c>
      <c r="H266" s="76">
        <v>0</v>
      </c>
      <c r="I266" s="76">
        <v>0</v>
      </c>
      <c r="J266" s="76">
        <f t="shared" si="38"/>
        <v>0</v>
      </c>
      <c r="K266" s="302">
        <f>ZoneInondable2022!G533</f>
        <v>25.498515999999999</v>
      </c>
      <c r="L266" s="302">
        <f>ZoneInondable2022!G353</f>
        <v>5.7699829999999999</v>
      </c>
      <c r="M266" s="302">
        <f>ZoneInondable2022!G99</f>
        <v>32.976643000000003</v>
      </c>
      <c r="N266" s="76"/>
      <c r="O266" s="76"/>
      <c r="P266" s="76"/>
      <c r="Q266" s="76">
        <f t="shared" si="41"/>
        <v>64.245142000000001</v>
      </c>
      <c r="R266" s="77">
        <f t="shared" si="39"/>
        <v>4.6120866425073043E-2</v>
      </c>
      <c r="S266" s="324">
        <v>4.5603965170425725E-2</v>
      </c>
      <c r="T266" s="78">
        <v>0</v>
      </c>
      <c r="U266" s="79">
        <v>0</v>
      </c>
      <c r="V266" s="80">
        <v>0</v>
      </c>
      <c r="W266" s="80">
        <v>25.5005677890329</v>
      </c>
      <c r="X266" s="80">
        <v>5.7684971366914395</v>
      </c>
      <c r="Y266" s="80">
        <v>32.256047355</v>
      </c>
      <c r="Z266" s="80"/>
      <c r="AA266" s="80"/>
      <c r="AB266" s="164">
        <f t="shared" si="42"/>
        <v>63.525112280724343</v>
      </c>
      <c r="AC266" s="216">
        <f t="shared" si="40"/>
        <v>4.5603965170425725E-2</v>
      </c>
    </row>
    <row r="267" spans="1:29" s="81" customFormat="1" ht="26.25" x14ac:dyDescent="0.25">
      <c r="A267" s="70">
        <v>267</v>
      </c>
      <c r="B267" s="71">
        <v>30271</v>
      </c>
      <c r="C267" s="72" t="s">
        <v>372</v>
      </c>
      <c r="D267" s="84" t="s">
        <v>765</v>
      </c>
      <c r="E267" s="69"/>
      <c r="F267" s="74">
        <f>4599298.69384765/10000</f>
        <v>459.92986938476497</v>
      </c>
      <c r="G267" s="75" t="s">
        <v>11</v>
      </c>
      <c r="H267" s="76">
        <v>0</v>
      </c>
      <c r="I267" s="76">
        <v>0</v>
      </c>
      <c r="J267" s="76">
        <f t="shared" si="38"/>
        <v>0</v>
      </c>
      <c r="K267" s="302">
        <f>ZoneInondable2022!G226</f>
        <v>48.532960000000003</v>
      </c>
      <c r="L267" s="302">
        <f>ZoneInondable2022!G667</f>
        <v>8.2668020000000002</v>
      </c>
      <c r="M267" s="302">
        <f>ZoneInondable2022!G597</f>
        <v>10.778259</v>
      </c>
      <c r="N267" s="76"/>
      <c r="O267" s="76"/>
      <c r="P267" s="76"/>
      <c r="Q267" s="76">
        <f t="shared" si="41"/>
        <v>67.578021000000007</v>
      </c>
      <c r="R267" s="77">
        <f t="shared" si="39"/>
        <v>0.14693114211172498</v>
      </c>
      <c r="S267" s="324">
        <v>0.15564710138502763</v>
      </c>
      <c r="T267" s="78">
        <v>0</v>
      </c>
      <c r="U267" s="79">
        <v>0</v>
      </c>
      <c r="V267" s="80">
        <v>0</v>
      </c>
      <c r="W267" s="80">
        <v>52.651810360175801</v>
      </c>
      <c r="X267" s="80">
        <v>8.2356149370572194</v>
      </c>
      <c r="Y267" s="80">
        <v>10.6993257129</v>
      </c>
      <c r="Z267" s="80"/>
      <c r="AA267" s="80"/>
      <c r="AB267" s="164">
        <f t="shared" si="42"/>
        <v>71.586751010133028</v>
      </c>
      <c r="AC267" s="216">
        <f t="shared" si="40"/>
        <v>0.15564710138502763</v>
      </c>
    </row>
    <row r="268" spans="1:29" s="28" customFormat="1" ht="26.25" x14ac:dyDescent="0.25">
      <c r="A268" s="17">
        <v>268</v>
      </c>
      <c r="B268" s="18">
        <v>30272</v>
      </c>
      <c r="C268" s="19" t="s">
        <v>813</v>
      </c>
      <c r="D268" s="20" t="s">
        <v>766</v>
      </c>
      <c r="E268" s="21"/>
      <c r="F268" s="22">
        <f>8861581.59667968/10000</f>
        <v>886.15815966796799</v>
      </c>
      <c r="G268" s="23" t="s">
        <v>761</v>
      </c>
      <c r="H268" s="302">
        <f>ZoneInondable2022!G633</f>
        <v>95.633255000000005</v>
      </c>
      <c r="I268" s="24">
        <v>0</v>
      </c>
      <c r="J268" s="24">
        <f t="shared" si="38"/>
        <v>0</v>
      </c>
      <c r="K268" s="24">
        <v>0</v>
      </c>
      <c r="L268" s="24">
        <v>0</v>
      </c>
      <c r="M268" s="24">
        <v>0</v>
      </c>
      <c r="N268" s="24"/>
      <c r="O268" s="24"/>
      <c r="P268" s="24"/>
      <c r="Q268" s="24">
        <f t="shared" si="41"/>
        <v>95.633255000000005</v>
      </c>
      <c r="R268" s="85">
        <f t="shared" si="39"/>
        <v>0.10791894647320355</v>
      </c>
      <c r="S268" s="324">
        <v>9.5616378808888583E-2</v>
      </c>
      <c r="T268" s="25">
        <v>84.731234279399999</v>
      </c>
      <c r="U268" s="26">
        <v>0</v>
      </c>
      <c r="V268" s="27">
        <v>0</v>
      </c>
      <c r="W268" s="27">
        <v>0</v>
      </c>
      <c r="X268" s="27">
        <v>0</v>
      </c>
      <c r="Y268" s="27">
        <v>0</v>
      </c>
      <c r="Z268" s="27"/>
      <c r="AA268" s="27"/>
      <c r="AB268" s="160">
        <f t="shared" si="42"/>
        <v>84.731234279399999</v>
      </c>
      <c r="AC268" s="216">
        <f t="shared" si="40"/>
        <v>9.5616378808888583E-2</v>
      </c>
    </row>
    <row r="269" spans="1:29" s="28" customFormat="1" ht="26.25" x14ac:dyDescent="0.25">
      <c r="A269" s="17">
        <v>269</v>
      </c>
      <c r="B269" s="18">
        <v>30273</v>
      </c>
      <c r="C269" s="19" t="s">
        <v>550</v>
      </c>
      <c r="D269" s="20" t="s">
        <v>760</v>
      </c>
      <c r="E269" s="21"/>
      <c r="F269" s="22">
        <f>12555003.3662109/10000</f>
        <v>1255.5003366210901</v>
      </c>
      <c r="G269" s="23" t="s">
        <v>761</v>
      </c>
      <c r="H269" s="302">
        <f>ZoneInondable2022!G464</f>
        <v>374.11383000000001</v>
      </c>
      <c r="I269" s="24">
        <v>0</v>
      </c>
      <c r="J269" s="24">
        <f t="shared" si="38"/>
        <v>0</v>
      </c>
      <c r="K269" s="24">
        <v>0</v>
      </c>
      <c r="L269" s="24">
        <v>0</v>
      </c>
      <c r="M269" s="24">
        <v>0</v>
      </c>
      <c r="N269" s="24"/>
      <c r="O269" s="24"/>
      <c r="P269" s="24"/>
      <c r="Q269" s="24">
        <f t="shared" si="41"/>
        <v>374.11383000000001</v>
      </c>
      <c r="R269" s="85">
        <f t="shared" si="39"/>
        <v>0.29797987231675871</v>
      </c>
      <c r="S269" s="324">
        <v>0.29876149422985276</v>
      </c>
      <c r="T269" s="25">
        <v>375.09515657500003</v>
      </c>
      <c r="U269" s="26">
        <v>0</v>
      </c>
      <c r="V269" s="27">
        <v>0</v>
      </c>
      <c r="W269" s="27">
        <v>0</v>
      </c>
      <c r="X269" s="27">
        <v>0</v>
      </c>
      <c r="Y269" s="27">
        <v>0</v>
      </c>
      <c r="Z269" s="27"/>
      <c r="AA269" s="27"/>
      <c r="AB269" s="160">
        <f t="shared" si="42"/>
        <v>375.09515657500003</v>
      </c>
      <c r="AC269" s="216">
        <f t="shared" si="40"/>
        <v>0.29876149422985276</v>
      </c>
    </row>
    <row r="270" spans="1:29" s="81" customFormat="1" ht="26.25" x14ac:dyDescent="0.25">
      <c r="A270" s="70">
        <v>270</v>
      </c>
      <c r="B270" s="71">
        <v>30274</v>
      </c>
      <c r="C270" s="72" t="s">
        <v>356</v>
      </c>
      <c r="D270" s="84" t="s">
        <v>754</v>
      </c>
      <c r="E270" s="69"/>
      <c r="F270" s="74">
        <f>14288699.7270507/10000</f>
        <v>1428.86997270507</v>
      </c>
      <c r="G270" s="75" t="s">
        <v>11</v>
      </c>
      <c r="H270" s="76">
        <v>0</v>
      </c>
      <c r="I270" s="76">
        <v>0</v>
      </c>
      <c r="J270" s="76">
        <f t="shared" si="38"/>
        <v>0</v>
      </c>
      <c r="K270" s="302">
        <f>ZoneInondable2022!G216</f>
        <v>37.509506000000002</v>
      </c>
      <c r="L270" s="302">
        <f>ZoneInondable2022!G443</f>
        <v>46.02664</v>
      </c>
      <c r="M270" s="302">
        <f>ZoneInondable2022!G247</f>
        <v>131.52402000000001</v>
      </c>
      <c r="N270" s="76"/>
      <c r="O270" s="76"/>
      <c r="P270" s="76"/>
      <c r="Q270" s="76">
        <f t="shared" si="41"/>
        <v>215.06016600000001</v>
      </c>
      <c r="R270" s="77">
        <f t="shared" si="39"/>
        <v>0.15051066234729402</v>
      </c>
      <c r="S270" s="324">
        <v>0.15517049683353953</v>
      </c>
      <c r="T270" s="78">
        <v>0</v>
      </c>
      <c r="U270" s="79">
        <v>0</v>
      </c>
      <c r="V270" s="80">
        <v>0</v>
      </c>
      <c r="W270" s="80">
        <v>39.647829941840996</v>
      </c>
      <c r="X270" s="80">
        <v>46.809339164330801</v>
      </c>
      <c r="Y270" s="80">
        <v>135.26129446900001</v>
      </c>
      <c r="Z270" s="80"/>
      <c r="AA270" s="80"/>
      <c r="AB270" s="164">
        <f t="shared" si="42"/>
        <v>221.7184635751718</v>
      </c>
      <c r="AC270" s="216">
        <f t="shared" si="40"/>
        <v>0.15517049683353953</v>
      </c>
    </row>
    <row r="271" spans="1:29" s="81" customFormat="1" ht="26.25" x14ac:dyDescent="0.25">
      <c r="A271" s="70">
        <v>271</v>
      </c>
      <c r="B271" s="71">
        <v>30275</v>
      </c>
      <c r="C271" s="72" t="s">
        <v>360</v>
      </c>
      <c r="D271" s="84" t="s">
        <v>754</v>
      </c>
      <c r="E271" s="89" t="s">
        <v>783</v>
      </c>
      <c r="F271" s="74">
        <f>23364830.8105468/10000</f>
        <v>2336.48308105468</v>
      </c>
      <c r="G271" s="75" t="s">
        <v>11</v>
      </c>
      <c r="H271" s="76">
        <v>0</v>
      </c>
      <c r="I271" s="76">
        <v>0</v>
      </c>
      <c r="J271" s="76">
        <f t="shared" si="38"/>
        <v>0</v>
      </c>
      <c r="K271" s="36">
        <f>ZoneInondable2022!G264</f>
        <v>35.362633000000002</v>
      </c>
      <c r="L271" s="36">
        <f>ZoneInondable2022!G218</f>
        <v>0.38112069999999998</v>
      </c>
      <c r="M271" s="302">
        <f>ZoneInondable2022!G538</f>
        <v>54.036952999999997</v>
      </c>
      <c r="N271" s="76"/>
      <c r="O271" s="76"/>
      <c r="P271" s="76"/>
      <c r="Q271" s="76">
        <f t="shared" si="41"/>
        <v>89.780706699999996</v>
      </c>
      <c r="R271" s="77">
        <f t="shared" si="39"/>
        <v>3.842557535639133E-2</v>
      </c>
      <c r="S271" s="324">
        <v>3.3973239458230213E-2</v>
      </c>
      <c r="T271" s="78">
        <v>0</v>
      </c>
      <c r="U271" s="79">
        <v>0</v>
      </c>
      <c r="V271" s="80">
        <v>0</v>
      </c>
      <c r="W271" s="80">
        <v>2.1284999258115898</v>
      </c>
      <c r="X271" s="80">
        <v>4.5846566907625794</v>
      </c>
      <c r="Y271" s="80">
        <v>72.664742586199992</v>
      </c>
      <c r="Z271" s="80"/>
      <c r="AA271" s="80"/>
      <c r="AB271" s="164">
        <f t="shared" si="42"/>
        <v>79.377899202774159</v>
      </c>
      <c r="AC271" s="216">
        <f t="shared" si="40"/>
        <v>3.3973239458230213E-2</v>
      </c>
    </row>
    <row r="272" spans="1:29" s="81" customFormat="1" ht="26.25" x14ac:dyDescent="0.25">
      <c r="A272" s="70">
        <v>272</v>
      </c>
      <c r="B272" s="71">
        <v>30276</v>
      </c>
      <c r="C272" s="72" t="s">
        <v>226</v>
      </c>
      <c r="D272" s="165" t="s">
        <v>756</v>
      </c>
      <c r="E272" s="69" t="s">
        <v>757</v>
      </c>
      <c r="F272" s="74">
        <f>89862056.6201171/10000</f>
        <v>8986.2056620117091</v>
      </c>
      <c r="G272" s="75" t="s">
        <v>11</v>
      </c>
      <c r="H272" s="76">
        <v>0</v>
      </c>
      <c r="I272" s="76">
        <v>0</v>
      </c>
      <c r="J272" s="76">
        <f t="shared" si="38"/>
        <v>0</v>
      </c>
      <c r="K272" s="302">
        <f>ZoneInondable2022!G390</f>
        <v>7648.4966000000004</v>
      </c>
      <c r="L272" s="302">
        <f>ZoneInondable2022!G141</f>
        <v>1051.7727</v>
      </c>
      <c r="M272" s="302">
        <f>ZoneInondable2022!G118</f>
        <v>224.81568999999999</v>
      </c>
      <c r="N272" s="76"/>
      <c r="O272" s="76"/>
      <c r="P272" s="76"/>
      <c r="Q272" s="76">
        <f t="shared" si="41"/>
        <v>8925.0849899999994</v>
      </c>
      <c r="R272" s="77">
        <f t="shared" si="39"/>
        <v>0.99319838936358962</v>
      </c>
      <c r="S272" s="324">
        <v>0.99704278594200779</v>
      </c>
      <c r="T272" s="78">
        <v>0</v>
      </c>
      <c r="U272" s="79">
        <v>0</v>
      </c>
      <c r="V272" s="80">
        <v>0</v>
      </c>
      <c r="W272" s="80">
        <v>7676.0072459999992</v>
      </c>
      <c r="X272" s="80">
        <v>1056.605043</v>
      </c>
      <c r="Y272" s="80">
        <v>227.01923930000001</v>
      </c>
      <c r="Z272" s="80"/>
      <c r="AA272" s="80"/>
      <c r="AB272" s="164">
        <f t="shared" si="42"/>
        <v>8959.6315282999985</v>
      </c>
      <c r="AC272" s="216">
        <f t="shared" si="40"/>
        <v>0.99704278594200779</v>
      </c>
    </row>
    <row r="273" spans="1:29" s="81" customFormat="1" ht="26.25" x14ac:dyDescent="0.25">
      <c r="A273" s="70">
        <v>273</v>
      </c>
      <c r="B273" s="71">
        <v>30277</v>
      </c>
      <c r="C273" s="72" t="s">
        <v>658</v>
      </c>
      <c r="D273" s="84" t="s">
        <v>765</v>
      </c>
      <c r="E273" s="69"/>
      <c r="F273" s="74">
        <f>10023369.7529296/10000</f>
        <v>1002.33697529296</v>
      </c>
      <c r="G273" s="75" t="s">
        <v>11</v>
      </c>
      <c r="H273" s="76">
        <v>0</v>
      </c>
      <c r="I273" s="76">
        <v>0</v>
      </c>
      <c r="J273" s="76">
        <f t="shared" si="38"/>
        <v>0</v>
      </c>
      <c r="K273" s="302">
        <f>ZoneInondable2022!G677</f>
        <v>56.364420000000003</v>
      </c>
      <c r="L273" s="302">
        <f>ZoneInondable2022!G787</f>
        <v>5.6159587000000002</v>
      </c>
      <c r="M273" s="302">
        <f>ZoneInondable2022!G855</f>
        <v>7.0034986000000004</v>
      </c>
      <c r="N273" s="76"/>
      <c r="O273" s="76"/>
      <c r="P273" s="76"/>
      <c r="Q273" s="76">
        <f t="shared" si="41"/>
        <v>68.983877300000003</v>
      </c>
      <c r="R273" s="77">
        <f t="shared" si="39"/>
        <v>6.882303955696896E-2</v>
      </c>
      <c r="S273" s="324">
        <v>6.7386950543147597E-2</v>
      </c>
      <c r="T273" s="78">
        <v>0</v>
      </c>
      <c r="U273" s="79">
        <v>0</v>
      </c>
      <c r="V273" s="80">
        <v>0</v>
      </c>
      <c r="W273" s="80">
        <v>54.995742003612001</v>
      </c>
      <c r="X273" s="80">
        <v>5.6074574616528396</v>
      </c>
      <c r="Y273" s="80">
        <v>6.9412327163700001</v>
      </c>
      <c r="Z273" s="80"/>
      <c r="AA273" s="80"/>
      <c r="AB273" s="164">
        <f t="shared" si="42"/>
        <v>67.544432181634846</v>
      </c>
      <c r="AC273" s="216">
        <f t="shared" si="40"/>
        <v>6.7386950543147597E-2</v>
      </c>
    </row>
    <row r="274" spans="1:29" s="28" customFormat="1" ht="26.25" x14ac:dyDescent="0.25">
      <c r="A274" s="17">
        <v>274</v>
      </c>
      <c r="B274" s="18">
        <v>30278</v>
      </c>
      <c r="C274" s="19" t="s">
        <v>814</v>
      </c>
      <c r="D274" s="20" t="s">
        <v>773</v>
      </c>
      <c r="E274" s="21"/>
      <c r="F274" s="22">
        <f>16324962/10000</f>
        <v>1632.4962</v>
      </c>
      <c r="G274" s="23" t="s">
        <v>761</v>
      </c>
      <c r="H274" s="302">
        <f>ZoneInondable2022!G439</f>
        <v>292.99747000000002</v>
      </c>
      <c r="I274" s="302">
        <f>ZoneInondable2022!G610</f>
        <v>35.480255</v>
      </c>
      <c r="J274" s="24">
        <f t="shared" si="38"/>
        <v>0</v>
      </c>
      <c r="K274" s="24">
        <v>0</v>
      </c>
      <c r="L274" s="24">
        <v>0</v>
      </c>
      <c r="M274" s="24">
        <v>0</v>
      </c>
      <c r="N274" s="24"/>
      <c r="O274" s="24"/>
      <c r="P274" s="24"/>
      <c r="Q274" s="24">
        <f t="shared" si="41"/>
        <v>328.47772500000002</v>
      </c>
      <c r="R274" s="85">
        <f t="shared" si="39"/>
        <v>0.20121193850252148</v>
      </c>
      <c r="S274" s="324">
        <v>0.20751493150869202</v>
      </c>
      <c r="T274" s="25">
        <v>301.484963843</v>
      </c>
      <c r="U274" s="26">
        <v>37.282373288199999</v>
      </c>
      <c r="V274" s="27">
        <v>0</v>
      </c>
      <c r="W274" s="27">
        <v>0</v>
      </c>
      <c r="X274" s="27">
        <v>0</v>
      </c>
      <c r="Y274" s="27">
        <v>0</v>
      </c>
      <c r="Z274" s="27"/>
      <c r="AA274" s="27"/>
      <c r="AB274" s="160">
        <f t="shared" si="42"/>
        <v>338.76733713120001</v>
      </c>
      <c r="AC274" s="216">
        <f t="shared" si="40"/>
        <v>0.20751493150869202</v>
      </c>
    </row>
    <row r="275" spans="1:29" s="81" customFormat="1" ht="26.25" x14ac:dyDescent="0.25">
      <c r="A275" s="70">
        <v>275</v>
      </c>
      <c r="B275" s="71">
        <v>30279</v>
      </c>
      <c r="C275" s="72" t="s">
        <v>374</v>
      </c>
      <c r="D275" s="84" t="s">
        <v>765</v>
      </c>
      <c r="E275" s="69"/>
      <c r="F275" s="74">
        <f>11782856.0883789/10000</f>
        <v>1178.2856088378901</v>
      </c>
      <c r="G275" s="75" t="s">
        <v>11</v>
      </c>
      <c r="H275" s="76">
        <v>0</v>
      </c>
      <c r="I275" s="76">
        <v>0</v>
      </c>
      <c r="J275" s="76">
        <f t="shared" si="38"/>
        <v>0</v>
      </c>
      <c r="K275" s="302">
        <f>ZoneInondable2022!G622</f>
        <v>43.107692999999998</v>
      </c>
      <c r="L275" s="302">
        <f>ZoneInondable2022!G228</f>
        <v>10.593299999999999</v>
      </c>
      <c r="M275" s="302">
        <f>ZoneInondable2022!G351</f>
        <v>21.2546</v>
      </c>
      <c r="N275" s="76"/>
      <c r="O275" s="76"/>
      <c r="P275" s="76"/>
      <c r="Q275" s="76">
        <f t="shared" si="41"/>
        <v>74.955592999999993</v>
      </c>
      <c r="R275" s="88">
        <f t="shared" si="39"/>
        <v>6.3614112264280806E-2</v>
      </c>
      <c r="S275" s="324">
        <v>1.4340399562433019E-2</v>
      </c>
      <c r="T275" s="78">
        <v>16.897086429400002</v>
      </c>
      <c r="U275" s="79">
        <v>0</v>
      </c>
      <c r="V275" s="80">
        <v>0</v>
      </c>
      <c r="W275" s="80">
        <v>0</v>
      </c>
      <c r="X275" s="80">
        <v>0</v>
      </c>
      <c r="Y275" s="80">
        <v>0</v>
      </c>
      <c r="Z275" s="80"/>
      <c r="AA275" s="80"/>
      <c r="AB275" s="164">
        <f t="shared" si="42"/>
        <v>16.897086429400002</v>
      </c>
      <c r="AC275" s="216">
        <f t="shared" si="40"/>
        <v>1.4340399562433019E-2</v>
      </c>
    </row>
    <row r="276" spans="1:29" s="28" customFormat="1" ht="26.25" x14ac:dyDescent="0.25">
      <c r="A276" s="17">
        <v>276</v>
      </c>
      <c r="B276" s="18">
        <v>30280</v>
      </c>
      <c r="C276" s="19" t="s">
        <v>815</v>
      </c>
      <c r="D276" s="20" t="s">
        <v>766</v>
      </c>
      <c r="E276" s="21"/>
      <c r="F276" s="22">
        <f>13197715.5/10000</f>
        <v>1319.7715499999999</v>
      </c>
      <c r="G276" s="23" t="s">
        <v>761</v>
      </c>
      <c r="H276" s="302">
        <f>ZoneInondable2022!G688</f>
        <v>78.573586000000006</v>
      </c>
      <c r="I276" s="24">
        <v>0</v>
      </c>
      <c r="J276" s="24">
        <f t="shared" si="38"/>
        <v>0</v>
      </c>
      <c r="K276" s="24">
        <v>0</v>
      </c>
      <c r="L276" s="24">
        <v>0</v>
      </c>
      <c r="M276" s="24">
        <v>0</v>
      </c>
      <c r="N276" s="24"/>
      <c r="O276" s="24"/>
      <c r="P276" s="24"/>
      <c r="Q276" s="24">
        <f t="shared" si="41"/>
        <v>78.573586000000006</v>
      </c>
      <c r="R276" s="85">
        <f t="shared" si="39"/>
        <v>5.953574768299863E-2</v>
      </c>
      <c r="S276" s="324">
        <v>6.0817846967984722E-2</v>
      </c>
      <c r="T276" s="25">
        <v>80.265664160599997</v>
      </c>
      <c r="U276" s="26">
        <v>0</v>
      </c>
      <c r="V276" s="27">
        <v>0</v>
      </c>
      <c r="W276" s="27">
        <v>0</v>
      </c>
      <c r="X276" s="27">
        <v>0</v>
      </c>
      <c r="Y276" s="27">
        <v>0</v>
      </c>
      <c r="Z276" s="27"/>
      <c r="AA276" s="27"/>
      <c r="AB276" s="160">
        <f t="shared" si="42"/>
        <v>80.265664160599997</v>
      </c>
      <c r="AC276" s="216">
        <f t="shared" si="40"/>
        <v>6.0817846967984722E-2</v>
      </c>
    </row>
    <row r="277" spans="1:29" s="81" customFormat="1" ht="26.25" x14ac:dyDescent="0.25">
      <c r="A277" s="70">
        <v>277</v>
      </c>
      <c r="B277" s="71">
        <v>30281</v>
      </c>
      <c r="C277" s="72" t="s">
        <v>202</v>
      </c>
      <c r="D277" s="84" t="s">
        <v>754</v>
      </c>
      <c r="E277" s="69"/>
      <c r="F277" s="74">
        <f>14417720.7607421/10000</f>
        <v>1441.77207607421</v>
      </c>
      <c r="G277" s="75" t="s">
        <v>11</v>
      </c>
      <c r="H277" s="76">
        <v>0</v>
      </c>
      <c r="I277" s="76">
        <v>0</v>
      </c>
      <c r="J277" s="76">
        <f t="shared" si="38"/>
        <v>0</v>
      </c>
      <c r="K277" s="36">
        <f>ZoneInondable2022!G101-X277</f>
        <v>57.158552461488696</v>
      </c>
      <c r="L277" s="36">
        <f>ZoneInondable2022!G707+X277</f>
        <v>24.194942938511304</v>
      </c>
      <c r="M277" s="302">
        <f>ZoneInondable2022!G182</f>
        <v>25.711200000000002</v>
      </c>
      <c r="N277" s="76"/>
      <c r="O277" s="76"/>
      <c r="P277" s="76"/>
      <c r="Q277" s="76">
        <f t="shared" si="41"/>
        <v>107.06469540000001</v>
      </c>
      <c r="R277" s="77">
        <f t="shared" si="39"/>
        <v>7.425909904672702E-2</v>
      </c>
      <c r="S277" s="324">
        <v>7.4871650855914892E-2</v>
      </c>
      <c r="T277" s="78">
        <v>0</v>
      </c>
      <c r="U277" s="79">
        <v>0</v>
      </c>
      <c r="V277" s="80">
        <v>0</v>
      </c>
      <c r="W277" s="80">
        <v>48.157863503624498</v>
      </c>
      <c r="X277" s="80">
        <v>22.806307538511302</v>
      </c>
      <c r="Y277" s="80">
        <v>36.983684451500004</v>
      </c>
      <c r="Z277" s="80"/>
      <c r="AA277" s="80"/>
      <c r="AB277" s="164">
        <f t="shared" si="42"/>
        <v>107.94785549363581</v>
      </c>
      <c r="AC277" s="216">
        <f t="shared" si="40"/>
        <v>7.4871650855914892E-2</v>
      </c>
    </row>
    <row r="278" spans="1:29" s="81" customFormat="1" ht="26.25" x14ac:dyDescent="0.25">
      <c r="A278" s="70">
        <v>278</v>
      </c>
      <c r="B278" s="71">
        <v>30282</v>
      </c>
      <c r="C278" s="72" t="s">
        <v>816</v>
      </c>
      <c r="D278" s="84" t="s">
        <v>765</v>
      </c>
      <c r="E278" s="69"/>
      <c r="F278" s="74">
        <f>10232209.4326171/10000</f>
        <v>1023.22094326171</v>
      </c>
      <c r="G278" s="75" t="s">
        <v>11</v>
      </c>
      <c r="H278" s="76">
        <v>0</v>
      </c>
      <c r="I278" s="76">
        <v>0</v>
      </c>
      <c r="J278" s="76">
        <f t="shared" si="38"/>
        <v>0</v>
      </c>
      <c r="K278" s="302">
        <f>ZoneInondable2022!G188</f>
        <v>11.699251</v>
      </c>
      <c r="L278" s="302">
        <f>ZoneInondable2022!G647</f>
        <v>3.4967923000000001</v>
      </c>
      <c r="M278" s="302">
        <f>ZoneInondable2022!G812</f>
        <v>11.668179500000001</v>
      </c>
      <c r="N278" s="76"/>
      <c r="O278" s="76"/>
      <c r="P278" s="76"/>
      <c r="Q278" s="76">
        <f t="shared" si="41"/>
        <v>26.8642228</v>
      </c>
      <c r="R278" s="77">
        <f t="shared" si="39"/>
        <v>2.6254566989574332E-2</v>
      </c>
      <c r="S278" s="324">
        <v>2.3233425255241833E-2</v>
      </c>
      <c r="T278" s="78">
        <v>0</v>
      </c>
      <c r="U278" s="79">
        <v>0</v>
      </c>
      <c r="V278" s="80">
        <v>0</v>
      </c>
      <c r="W278" s="80">
        <v>9.5447980752457404</v>
      </c>
      <c r="X278" s="80">
        <v>3.57786179932324</v>
      </c>
      <c r="Y278" s="80">
        <v>10.650267430300001</v>
      </c>
      <c r="Z278" s="80"/>
      <c r="AA278" s="80"/>
      <c r="AB278" s="164">
        <f t="shared" si="42"/>
        <v>23.772927304868983</v>
      </c>
      <c r="AC278" s="216">
        <f t="shared" si="40"/>
        <v>2.3233425255241833E-2</v>
      </c>
    </row>
    <row r="279" spans="1:29" s="28" customFormat="1" ht="18" customHeight="1" x14ac:dyDescent="0.25">
      <c r="A279" s="17">
        <v>279</v>
      </c>
      <c r="B279" s="18">
        <v>30283</v>
      </c>
      <c r="C279" s="19" t="s">
        <v>817</v>
      </c>
      <c r="D279" s="20" t="s">
        <v>766</v>
      </c>
      <c r="E279" s="21"/>
      <c r="F279" s="22">
        <f>17307502.3149414/10000</f>
        <v>1730.7502314941398</v>
      </c>
      <c r="G279" s="23" t="s">
        <v>761</v>
      </c>
      <c r="H279" s="302">
        <f>ZoneInondable2022!G601</f>
        <v>65.487750000000005</v>
      </c>
      <c r="I279" s="24">
        <v>0</v>
      </c>
      <c r="J279" s="24">
        <f t="shared" si="38"/>
        <v>0</v>
      </c>
      <c r="K279" s="24">
        <v>0</v>
      </c>
      <c r="L279" s="24">
        <v>0</v>
      </c>
      <c r="M279" s="24">
        <v>0</v>
      </c>
      <c r="N279" s="24"/>
      <c r="O279" s="24"/>
      <c r="P279" s="24"/>
      <c r="Q279" s="24">
        <f t="shared" si="41"/>
        <v>65.487750000000005</v>
      </c>
      <c r="R279" s="85">
        <f t="shared" si="39"/>
        <v>3.7837782025581509E-2</v>
      </c>
      <c r="S279" s="324">
        <v>3.8387980312527818E-2</v>
      </c>
      <c r="T279" s="25">
        <v>66.440005812500004</v>
      </c>
      <c r="U279" s="26">
        <v>0</v>
      </c>
      <c r="V279" s="27">
        <v>0</v>
      </c>
      <c r="W279" s="27">
        <v>0</v>
      </c>
      <c r="X279" s="27">
        <v>0</v>
      </c>
      <c r="Y279" s="27">
        <v>0</v>
      </c>
      <c r="Z279" s="27"/>
      <c r="AA279" s="27"/>
      <c r="AB279" s="160">
        <f t="shared" si="42"/>
        <v>66.440005812500004</v>
      </c>
      <c r="AC279" s="216">
        <f t="shared" si="40"/>
        <v>3.8387980312527818E-2</v>
      </c>
    </row>
    <row r="280" spans="1:29" s="81" customFormat="1" ht="26.25" x14ac:dyDescent="0.25">
      <c r="A280" s="70">
        <v>280</v>
      </c>
      <c r="B280" s="71">
        <v>30284</v>
      </c>
      <c r="C280" s="72" t="s">
        <v>576</v>
      </c>
      <c r="D280" s="84" t="s">
        <v>754</v>
      </c>
      <c r="E280" s="69"/>
      <c r="F280" s="74">
        <f>13344549.0405273/10000</f>
        <v>1334.4549040527302</v>
      </c>
      <c r="G280" s="75" t="s">
        <v>11</v>
      </c>
      <c r="H280" s="76">
        <v>0</v>
      </c>
      <c r="I280" s="76">
        <v>0</v>
      </c>
      <c r="J280" s="76">
        <f t="shared" si="38"/>
        <v>0</v>
      </c>
      <c r="K280" s="302">
        <f>ZoneInondable2022!G571</f>
        <v>149.09293</v>
      </c>
      <c r="L280" s="302">
        <f>ZoneInondable2022!G512</f>
        <v>37.519832999999998</v>
      </c>
      <c r="M280" s="302">
        <f>ZoneInondable2022!G583</f>
        <v>104.68077</v>
      </c>
      <c r="N280" s="76"/>
      <c r="O280" s="76"/>
      <c r="P280" s="76"/>
      <c r="Q280" s="76">
        <f t="shared" si="41"/>
        <v>291.29353300000002</v>
      </c>
      <c r="R280" s="77">
        <f t="shared" si="39"/>
        <v>0.21828653191302577</v>
      </c>
      <c r="S280" s="324">
        <v>0.21639658009503271</v>
      </c>
      <c r="T280" s="78">
        <v>0</v>
      </c>
      <c r="U280" s="79">
        <v>0</v>
      </c>
      <c r="V280" s="80">
        <v>0</v>
      </c>
      <c r="W280" s="80">
        <v>148.09593250602001</v>
      </c>
      <c r="X280" s="80">
        <v>36.778536388035796</v>
      </c>
      <c r="Y280" s="80">
        <v>103.897008634</v>
      </c>
      <c r="Z280" s="80"/>
      <c r="AA280" s="80"/>
      <c r="AB280" s="164">
        <f t="shared" si="42"/>
        <v>288.77147752805581</v>
      </c>
      <c r="AC280" s="216">
        <f t="shared" si="40"/>
        <v>0.21639658009503271</v>
      </c>
    </row>
    <row r="281" spans="1:29" s="81" customFormat="1" ht="26.25" x14ac:dyDescent="0.25">
      <c r="A281" s="70">
        <v>281</v>
      </c>
      <c r="B281" s="71">
        <v>30285</v>
      </c>
      <c r="C281" s="72" t="s">
        <v>406</v>
      </c>
      <c r="D281" s="84" t="s">
        <v>754</v>
      </c>
      <c r="E281" s="69"/>
      <c r="F281" s="74">
        <f>13329798.9228515/10000</f>
        <v>1332.9798922851498</v>
      </c>
      <c r="G281" s="75" t="s">
        <v>11</v>
      </c>
      <c r="H281" s="76">
        <v>0</v>
      </c>
      <c r="I281" s="76">
        <v>0</v>
      </c>
      <c r="J281" s="76">
        <f t="shared" si="38"/>
        <v>0</v>
      </c>
      <c r="K281" s="36">
        <f>ZoneInondable2022!G258-X281</f>
        <v>63.763385992770303</v>
      </c>
      <c r="L281" s="36">
        <f>ZoneInondable2022!G714+X281</f>
        <v>45.056834407229701</v>
      </c>
      <c r="M281" s="302">
        <f>ZoneInondable2022!G448</f>
        <v>27.138636000000002</v>
      </c>
      <c r="N281" s="76"/>
      <c r="O281" s="76"/>
      <c r="P281" s="76"/>
      <c r="Q281" s="76">
        <f t="shared" si="41"/>
        <v>135.9588564</v>
      </c>
      <c r="R281" s="77">
        <f t="shared" si="39"/>
        <v>0.10199617952745217</v>
      </c>
      <c r="S281" s="324">
        <v>0.1012956141505208</v>
      </c>
      <c r="T281" s="78">
        <v>0</v>
      </c>
      <c r="U281" s="79">
        <v>0</v>
      </c>
      <c r="V281" s="80">
        <v>0</v>
      </c>
      <c r="W281" s="80">
        <v>59.110120306489605</v>
      </c>
      <c r="X281" s="80">
        <v>42.129764007229703</v>
      </c>
      <c r="Y281" s="80">
        <v>33.785132525599998</v>
      </c>
      <c r="Z281" s="80"/>
      <c r="AA281" s="80"/>
      <c r="AB281" s="164">
        <f t="shared" si="42"/>
        <v>135.02501683931931</v>
      </c>
      <c r="AC281" s="216">
        <f t="shared" si="40"/>
        <v>0.1012956141505208</v>
      </c>
    </row>
    <row r="282" spans="1:29" s="81" customFormat="1" ht="21.75" customHeight="1" x14ac:dyDescent="0.25">
      <c r="A282" s="70">
        <v>282</v>
      </c>
      <c r="B282" s="71">
        <v>30286</v>
      </c>
      <c r="C282" s="72" t="s">
        <v>182</v>
      </c>
      <c r="D282" s="84" t="s">
        <v>754</v>
      </c>
      <c r="E282" s="69"/>
      <c r="F282" s="74">
        <f>10040627.8583984/10000</f>
        <v>1004.06278583984</v>
      </c>
      <c r="G282" s="75" t="s">
        <v>11</v>
      </c>
      <c r="H282" s="76">
        <v>0</v>
      </c>
      <c r="I282" s="76">
        <v>0</v>
      </c>
      <c r="J282" s="76">
        <f t="shared" ref="J282:J300" si="43">V282/10000</f>
        <v>0</v>
      </c>
      <c r="K282" s="302">
        <f>ZoneInondable2022!G590</f>
        <v>54.336440000000003</v>
      </c>
      <c r="L282" s="302">
        <f>ZoneInondable2022!G523</f>
        <v>44.544296000000003</v>
      </c>
      <c r="M282" s="302">
        <f>ZoneInondable2022!G90</f>
        <v>85.337010000000006</v>
      </c>
      <c r="N282" s="76"/>
      <c r="O282" s="76"/>
      <c r="P282" s="76"/>
      <c r="Q282" s="76">
        <f t="shared" si="41"/>
        <v>184.21774600000003</v>
      </c>
      <c r="R282" s="77">
        <f t="shared" si="39"/>
        <v>0.18347233718647646</v>
      </c>
      <c r="S282" s="324">
        <v>0.18341156319817556</v>
      </c>
      <c r="T282" s="78">
        <v>0</v>
      </c>
      <c r="U282" s="79">
        <v>0</v>
      </c>
      <c r="V282" s="80">
        <v>0</v>
      </c>
      <c r="W282" s="80">
        <v>51.605431300000006</v>
      </c>
      <c r="X282" s="80">
        <v>44.386331400000003</v>
      </c>
      <c r="Y282" s="80">
        <v>88.164962399999993</v>
      </c>
      <c r="Z282" s="80"/>
      <c r="AA282" s="80"/>
      <c r="AB282" s="164">
        <f t="shared" si="42"/>
        <v>184.15672510000002</v>
      </c>
      <c r="AC282" s="216">
        <f t="shared" si="40"/>
        <v>0.18341156319817556</v>
      </c>
    </row>
    <row r="283" spans="1:29" s="81" customFormat="1" ht="26.25" x14ac:dyDescent="0.25">
      <c r="A283" s="70">
        <v>283</v>
      </c>
      <c r="B283" s="71">
        <v>30287</v>
      </c>
      <c r="C283" s="72" t="s">
        <v>642</v>
      </c>
      <c r="D283" s="84" t="s">
        <v>765</v>
      </c>
      <c r="E283" s="69" t="s">
        <v>787</v>
      </c>
      <c r="F283" s="74">
        <f>10329566.7924804/10000</f>
        <v>1032.95667924804</v>
      </c>
      <c r="G283" s="75" t="s">
        <v>11</v>
      </c>
      <c r="H283" s="76">
        <v>0</v>
      </c>
      <c r="I283" s="76">
        <v>0</v>
      </c>
      <c r="J283" s="76">
        <f t="shared" si="43"/>
        <v>0</v>
      </c>
      <c r="K283" s="302">
        <f>ZoneInondable2022!G660</f>
        <v>75.504813999999996</v>
      </c>
      <c r="L283" s="302">
        <f>ZoneInondable2022!G750</f>
        <v>4.2852420000000002</v>
      </c>
      <c r="M283" s="302">
        <f>ZoneInondable2022!G829</f>
        <v>37.428897999999997</v>
      </c>
      <c r="N283" s="76"/>
      <c r="O283" s="76"/>
      <c r="P283" s="76"/>
      <c r="Q283" s="76">
        <f t="shared" si="41"/>
        <v>117.218954</v>
      </c>
      <c r="R283" s="77">
        <f t="shared" si="39"/>
        <v>0.11347906098572469</v>
      </c>
      <c r="S283" s="324">
        <v>0.11268268954328257</v>
      </c>
      <c r="T283" s="78">
        <v>0</v>
      </c>
      <c r="U283" s="79">
        <v>0</v>
      </c>
      <c r="V283" s="80">
        <v>0</v>
      </c>
      <c r="W283" s="80">
        <v>74.674447875097002</v>
      </c>
      <c r="X283" s="80">
        <v>4.29083240787</v>
      </c>
      <c r="Y283" s="80">
        <v>37.431056516400005</v>
      </c>
      <c r="Z283" s="80"/>
      <c r="AA283" s="80"/>
      <c r="AB283" s="164">
        <f t="shared" si="42"/>
        <v>116.39633679936701</v>
      </c>
      <c r="AC283" s="216">
        <f t="shared" si="40"/>
        <v>0.11268268954328257</v>
      </c>
    </row>
    <row r="284" spans="1:29" s="149" customFormat="1" ht="26.25" customHeight="1" x14ac:dyDescent="0.25">
      <c r="A284" s="138">
        <v>284</v>
      </c>
      <c r="B284" s="139">
        <v>30288</v>
      </c>
      <c r="C284" s="140" t="s">
        <v>818</v>
      </c>
      <c r="D284" s="141" t="s">
        <v>765</v>
      </c>
      <c r="E284" s="137"/>
      <c r="F284" s="142">
        <f>6748339.79736328/10000</f>
        <v>674.83397973632805</v>
      </c>
      <c r="G284" s="143" t="s">
        <v>778</v>
      </c>
      <c r="H284" s="144">
        <v>0</v>
      </c>
      <c r="I284" s="144">
        <v>0</v>
      </c>
      <c r="J284" s="144">
        <f t="shared" si="43"/>
        <v>0</v>
      </c>
      <c r="K284" s="302">
        <f>ZoneInondable2022!G148</f>
        <v>5.2363350000000003E-2</v>
      </c>
      <c r="L284" s="144">
        <v>0</v>
      </c>
      <c r="M284" s="144">
        <v>0</v>
      </c>
      <c r="N284" s="144"/>
      <c r="O284" s="144"/>
      <c r="P284" s="144"/>
      <c r="Q284" s="144">
        <f t="shared" si="41"/>
        <v>5.2363350000000003E-2</v>
      </c>
      <c r="R284" s="145">
        <f t="shared" si="39"/>
        <v>7.7594418141865753E-5</v>
      </c>
      <c r="S284" s="324">
        <v>0</v>
      </c>
      <c r="T284" s="146">
        <v>0</v>
      </c>
      <c r="U284" s="147">
        <v>0</v>
      </c>
      <c r="V284" s="148">
        <v>0</v>
      </c>
      <c r="W284" s="148">
        <v>0</v>
      </c>
      <c r="X284" s="148">
        <v>0</v>
      </c>
      <c r="Y284" s="148">
        <v>0</v>
      </c>
      <c r="Z284" s="148"/>
      <c r="AA284" s="148"/>
      <c r="AB284" s="162">
        <f t="shared" si="42"/>
        <v>0</v>
      </c>
      <c r="AC284" s="216">
        <f t="shared" si="40"/>
        <v>0</v>
      </c>
    </row>
    <row r="285" spans="1:29" s="28" customFormat="1" ht="26.25" x14ac:dyDescent="0.25">
      <c r="A285" s="17">
        <v>285</v>
      </c>
      <c r="B285" s="18">
        <v>30289</v>
      </c>
      <c r="C285" s="19" t="s">
        <v>640</v>
      </c>
      <c r="D285" s="20" t="s">
        <v>755</v>
      </c>
      <c r="E285" s="21"/>
      <c r="F285" s="22">
        <f>11437093.6518554/10000</f>
        <v>1143.70936518554</v>
      </c>
      <c r="G285" s="23" t="s">
        <v>761</v>
      </c>
      <c r="H285" s="302">
        <f>ZoneInondable2022!G659</f>
        <v>44.447825999999999</v>
      </c>
      <c r="I285" s="24">
        <v>0</v>
      </c>
      <c r="J285" s="24">
        <f t="shared" si="43"/>
        <v>0</v>
      </c>
      <c r="K285" s="24">
        <v>0</v>
      </c>
      <c r="L285" s="24">
        <v>0</v>
      </c>
      <c r="M285" s="24">
        <v>0</v>
      </c>
      <c r="N285" s="24"/>
      <c r="O285" s="24"/>
      <c r="P285" s="24"/>
      <c r="Q285" s="24">
        <f t="shared" si="41"/>
        <v>44.447825999999999</v>
      </c>
      <c r="R285" s="88">
        <f t="shared" si="39"/>
        <v>3.886286792168514E-2</v>
      </c>
      <c r="S285" s="324">
        <v>5.3537840996140302E-4</v>
      </c>
      <c r="T285" s="25">
        <v>0.61231730139100005</v>
      </c>
      <c r="U285" s="26">
        <v>0</v>
      </c>
      <c r="V285" s="27">
        <v>0</v>
      </c>
      <c r="W285" s="27">
        <v>0</v>
      </c>
      <c r="X285" s="27">
        <v>0</v>
      </c>
      <c r="Y285" s="27">
        <v>0</v>
      </c>
      <c r="Z285" s="27"/>
      <c r="AA285" s="27"/>
      <c r="AB285" s="160">
        <f t="shared" si="42"/>
        <v>0.61231730139100005</v>
      </c>
      <c r="AC285" s="216">
        <f t="shared" si="40"/>
        <v>5.3537840996140302E-4</v>
      </c>
    </row>
    <row r="286" spans="1:29" s="81" customFormat="1" ht="26.25" x14ac:dyDescent="0.25">
      <c r="A286" s="70">
        <v>286</v>
      </c>
      <c r="B286" s="71">
        <v>30291</v>
      </c>
      <c r="C286" s="72" t="s">
        <v>218</v>
      </c>
      <c r="D286" s="84" t="s">
        <v>754</v>
      </c>
      <c r="E286" s="69"/>
      <c r="F286" s="74">
        <f>19097770.1733398/10000</f>
        <v>1909.77701733398</v>
      </c>
      <c r="G286" s="75" t="s">
        <v>11</v>
      </c>
      <c r="H286" s="76">
        <v>0</v>
      </c>
      <c r="I286" s="76">
        <v>0</v>
      </c>
      <c r="J286" s="76">
        <f t="shared" si="43"/>
        <v>0</v>
      </c>
      <c r="K286" s="302">
        <f>ZoneInondable2022!G234</f>
        <v>31.679079999999999</v>
      </c>
      <c r="L286" s="302">
        <f>ZoneInondable2022!G114</f>
        <v>2.8356922</v>
      </c>
      <c r="M286" s="302">
        <f>ZoneInondable2022!G193</f>
        <v>40.810932000000001</v>
      </c>
      <c r="N286" s="76"/>
      <c r="O286" s="76"/>
      <c r="P286" s="76"/>
      <c r="Q286" s="76">
        <f t="shared" si="41"/>
        <v>75.32570419999999</v>
      </c>
      <c r="R286" s="77">
        <f t="shared" si="39"/>
        <v>3.9442146133454647E-2</v>
      </c>
      <c r="S286" s="324">
        <v>3.9975573199710547E-2</v>
      </c>
      <c r="T286" s="78">
        <v>0</v>
      </c>
      <c r="U286" s="79">
        <v>0</v>
      </c>
      <c r="V286" s="80">
        <v>0</v>
      </c>
      <c r="W286" s="80">
        <v>31.7898625001121</v>
      </c>
      <c r="X286" s="80">
        <v>2.8372117081572896</v>
      </c>
      <c r="Y286" s="80">
        <v>41.717356743290004</v>
      </c>
      <c r="Z286" s="80"/>
      <c r="AA286" s="80"/>
      <c r="AB286" s="164">
        <f t="shared" si="42"/>
        <v>76.344430951559389</v>
      </c>
      <c r="AC286" s="216">
        <f t="shared" si="40"/>
        <v>3.9975573199710547E-2</v>
      </c>
    </row>
    <row r="287" spans="1:29" s="107" customFormat="1" ht="26.25" x14ac:dyDescent="0.25">
      <c r="A287" s="136">
        <v>287</v>
      </c>
      <c r="B287" s="71">
        <v>30355</v>
      </c>
      <c r="C287" s="72" t="s">
        <v>72</v>
      </c>
      <c r="D287" s="84" t="s">
        <v>765</v>
      </c>
      <c r="E287" s="69"/>
      <c r="F287" s="74">
        <f>5342711.64746093/10000</f>
        <v>534.27116474609295</v>
      </c>
      <c r="G287" s="75" t="s">
        <v>11</v>
      </c>
      <c r="H287" s="76">
        <f>966.210118982/10000</f>
        <v>9.6621011898200007E-2</v>
      </c>
      <c r="I287" s="76">
        <v>0</v>
      </c>
      <c r="J287" s="76">
        <f t="shared" si="43"/>
        <v>0</v>
      </c>
      <c r="K287" s="302">
        <f>ZoneInondable2022!G28</f>
        <v>37.960850000000001</v>
      </c>
      <c r="L287" s="302">
        <f>ZoneInondable2022!G558</f>
        <v>136.39995999999999</v>
      </c>
      <c r="M287" s="302">
        <f>ZoneInondable2022!G556</f>
        <v>8.5851590000000009</v>
      </c>
      <c r="N287" s="76"/>
      <c r="O287" s="76"/>
      <c r="P287" s="76"/>
      <c r="Q287" s="76">
        <f t="shared" si="41"/>
        <v>183.0425900118982</v>
      </c>
      <c r="R287" s="90">
        <f t="shared" si="39"/>
        <v>0.3426024125761819</v>
      </c>
      <c r="S287" s="324">
        <v>1.808463908848949E-4</v>
      </c>
      <c r="T287" s="105">
        <v>9.6621011898200007E-2</v>
      </c>
      <c r="U287" s="76">
        <v>0</v>
      </c>
      <c r="V287" s="106">
        <v>0</v>
      </c>
      <c r="W287" s="106">
        <v>0</v>
      </c>
      <c r="X287" s="106">
        <v>0</v>
      </c>
      <c r="Y287" s="106">
        <v>0</v>
      </c>
      <c r="Z287" s="106"/>
      <c r="AA287" s="106"/>
      <c r="AB287" s="164">
        <f t="shared" si="42"/>
        <v>9.6621011898200007E-2</v>
      </c>
      <c r="AC287" s="216">
        <f t="shared" si="40"/>
        <v>1.808463908848949E-4</v>
      </c>
    </row>
    <row r="288" spans="1:29" s="28" customFormat="1" ht="26.25" x14ac:dyDescent="0.25">
      <c r="A288" s="17">
        <v>288</v>
      </c>
      <c r="B288" s="18">
        <v>30290</v>
      </c>
      <c r="C288" s="19" t="s">
        <v>240</v>
      </c>
      <c r="D288" s="20" t="s">
        <v>760</v>
      </c>
      <c r="E288" s="21"/>
      <c r="F288" s="22">
        <f>16807185.0566406/10000</f>
        <v>1680.7185056640599</v>
      </c>
      <c r="G288" s="23" t="s">
        <v>761</v>
      </c>
      <c r="H288" s="302">
        <f>ZoneInondable2022!G124</f>
        <v>292.86743000000001</v>
      </c>
      <c r="I288" s="24">
        <v>0</v>
      </c>
      <c r="J288" s="24">
        <f t="shared" si="43"/>
        <v>0</v>
      </c>
      <c r="K288" s="24">
        <v>0</v>
      </c>
      <c r="L288" s="24">
        <v>0</v>
      </c>
      <c r="M288" s="24">
        <v>0</v>
      </c>
      <c r="N288" s="24"/>
      <c r="O288" s="24"/>
      <c r="P288" s="24"/>
      <c r="Q288" s="24">
        <f t="shared" si="41"/>
        <v>292.86743000000001</v>
      </c>
      <c r="R288" s="85">
        <f t="shared" si="39"/>
        <v>0.17425132704437421</v>
      </c>
      <c r="S288" s="324">
        <v>0.17489043996446169</v>
      </c>
      <c r="T288" s="25">
        <v>293.94159891200002</v>
      </c>
      <c r="U288" s="26">
        <v>0</v>
      </c>
      <c r="V288" s="27">
        <v>0</v>
      </c>
      <c r="W288" s="27">
        <v>0</v>
      </c>
      <c r="X288" s="27">
        <v>0</v>
      </c>
      <c r="Y288" s="27">
        <v>0</v>
      </c>
      <c r="Z288" s="27"/>
      <c r="AA288" s="27"/>
      <c r="AB288" s="160">
        <f t="shared" si="42"/>
        <v>293.94159891200002</v>
      </c>
      <c r="AC288" s="216">
        <f t="shared" si="40"/>
        <v>0.17489043996446169</v>
      </c>
    </row>
    <row r="289" spans="1:29" s="81" customFormat="1" ht="26.25" x14ac:dyDescent="0.25">
      <c r="A289" s="70">
        <v>289</v>
      </c>
      <c r="B289" s="71">
        <v>30292</v>
      </c>
      <c r="C289" s="72" t="s">
        <v>266</v>
      </c>
      <c r="D289" s="84" t="s">
        <v>765</v>
      </c>
      <c r="E289" s="69"/>
      <c r="F289" s="74">
        <f>6410173.69580078/10000</f>
        <v>641.01736958007803</v>
      </c>
      <c r="G289" s="75" t="s">
        <v>11</v>
      </c>
      <c r="H289" s="76">
        <v>0</v>
      </c>
      <c r="I289" s="76">
        <v>0</v>
      </c>
      <c r="J289" s="76">
        <f t="shared" si="43"/>
        <v>0</v>
      </c>
      <c r="K289" s="302">
        <f>ZoneInondable2022!G287</f>
        <v>40.015929999999997</v>
      </c>
      <c r="L289" s="302">
        <f>ZoneInondable2022!G145</f>
        <v>17.532495000000001</v>
      </c>
      <c r="M289" s="302">
        <f>ZoneInondable2022!G463</f>
        <v>3.0755083999999999</v>
      </c>
      <c r="N289" s="76"/>
      <c r="O289" s="76"/>
      <c r="P289" s="76"/>
      <c r="Q289" s="76">
        <f t="shared" si="41"/>
        <v>60.623933399999991</v>
      </c>
      <c r="R289" s="77">
        <f t="shared" si="39"/>
        <v>9.4574556442540592E-2</v>
      </c>
      <c r="S289" s="324">
        <v>6.2447281215363921E-2</v>
      </c>
      <c r="T289" s="78">
        <v>40.029791942099997</v>
      </c>
      <c r="U289" s="79">
        <v>0</v>
      </c>
      <c r="V289" s="80">
        <v>0</v>
      </c>
      <c r="W289" s="80">
        <v>0</v>
      </c>
      <c r="X289" s="80">
        <v>0</v>
      </c>
      <c r="Y289" s="80">
        <v>0</v>
      </c>
      <c r="Z289" s="80"/>
      <c r="AA289" s="80"/>
      <c r="AB289" s="164">
        <f t="shared" si="42"/>
        <v>40.029791942099997</v>
      </c>
      <c r="AC289" s="216">
        <f t="shared" si="40"/>
        <v>6.2447281215363921E-2</v>
      </c>
    </row>
    <row r="290" spans="1:29" s="81" customFormat="1" ht="26.25" x14ac:dyDescent="0.25">
      <c r="A290" s="70">
        <v>290</v>
      </c>
      <c r="B290" s="71">
        <v>30293</v>
      </c>
      <c r="C290" s="72" t="s">
        <v>594</v>
      </c>
      <c r="D290" s="84" t="s">
        <v>765</v>
      </c>
      <c r="E290" s="69"/>
      <c r="F290" s="74">
        <f>11846004.8549804/10000</f>
        <v>1184.6004854980399</v>
      </c>
      <c r="G290" s="75" t="s">
        <v>11</v>
      </c>
      <c r="H290" s="76">
        <v>0</v>
      </c>
      <c r="I290" s="76">
        <v>0</v>
      </c>
      <c r="J290" s="76">
        <f t="shared" si="43"/>
        <v>0</v>
      </c>
      <c r="K290" s="302">
        <f>ZoneInondable2022!G738</f>
        <v>58.712997000000001</v>
      </c>
      <c r="L290" s="302">
        <f>ZoneInondable2022!G704</f>
        <v>2.423562</v>
      </c>
      <c r="M290" s="302">
        <f>ZoneInondable2022!G592</f>
        <v>6.9135074999999997</v>
      </c>
      <c r="N290" s="76"/>
      <c r="O290" s="76"/>
      <c r="P290" s="76"/>
      <c r="Q290" s="76">
        <f t="shared" si="41"/>
        <v>68.0500665</v>
      </c>
      <c r="R290" s="77">
        <f t="shared" si="39"/>
        <v>5.7445583834443398E-2</v>
      </c>
      <c r="S290" s="324">
        <v>6.5473539791417651E-2</v>
      </c>
      <c r="T290" s="78">
        <v>0</v>
      </c>
      <c r="U290" s="79">
        <v>0</v>
      </c>
      <c r="V290" s="80">
        <v>0</v>
      </c>
      <c r="W290" s="80">
        <v>68.600613373344103</v>
      </c>
      <c r="X290" s="80">
        <v>2.63849975490449</v>
      </c>
      <c r="Y290" s="80">
        <v>6.3208738959400002</v>
      </c>
      <c r="Z290" s="80"/>
      <c r="AA290" s="80"/>
      <c r="AB290" s="164">
        <f t="shared" si="42"/>
        <v>77.559987024188587</v>
      </c>
      <c r="AC290" s="216">
        <f t="shared" si="40"/>
        <v>6.5473539791417651E-2</v>
      </c>
    </row>
    <row r="291" spans="1:29" s="81" customFormat="1" ht="26.25" x14ac:dyDescent="0.25">
      <c r="A291" s="70">
        <v>291</v>
      </c>
      <c r="B291" s="71">
        <v>30294</v>
      </c>
      <c r="C291" s="72" t="s">
        <v>388</v>
      </c>
      <c r="D291" s="84" t="s">
        <v>754</v>
      </c>
      <c r="E291" s="69"/>
      <c r="F291" s="74">
        <f>15776853.3813476/10000</f>
        <v>1577.6853381347601</v>
      </c>
      <c r="G291" s="75" t="s">
        <v>11</v>
      </c>
      <c r="H291" s="76">
        <v>0</v>
      </c>
      <c r="I291" s="76">
        <v>0</v>
      </c>
      <c r="J291" s="76">
        <f t="shared" si="43"/>
        <v>0</v>
      </c>
      <c r="K291" s="302">
        <f>ZoneInondable2022!G782</f>
        <v>77.763419999999996</v>
      </c>
      <c r="L291" s="302">
        <f>ZoneInondable2022!G244</f>
        <v>35.868378</v>
      </c>
      <c r="M291" s="302">
        <f>ZoneInondable2022!G551</f>
        <v>125.75094</v>
      </c>
      <c r="N291" s="76"/>
      <c r="O291" s="76"/>
      <c r="P291" s="76"/>
      <c r="Q291" s="76">
        <f t="shared" si="41"/>
        <v>239.38273800000002</v>
      </c>
      <c r="R291" s="77">
        <f t="shared" si="39"/>
        <v>0.15173034331612253</v>
      </c>
      <c r="S291" s="324">
        <v>0.14812615526265899</v>
      </c>
      <c r="T291" s="78">
        <v>0</v>
      </c>
      <c r="U291" s="79">
        <v>0</v>
      </c>
      <c r="V291" s="80">
        <v>0</v>
      </c>
      <c r="W291" s="80">
        <v>73.324746882370405</v>
      </c>
      <c r="X291" s="80">
        <v>35.560145624799702</v>
      </c>
      <c r="Y291" s="80">
        <v>124.81157084500001</v>
      </c>
      <c r="Z291" s="80"/>
      <c r="AA291" s="80"/>
      <c r="AB291" s="164">
        <f t="shared" si="42"/>
        <v>233.6964633521701</v>
      </c>
      <c r="AC291" s="216">
        <f t="shared" si="40"/>
        <v>0.14812615526265899</v>
      </c>
    </row>
    <row r="292" spans="1:29" s="102" customFormat="1" ht="26.25" x14ac:dyDescent="0.25">
      <c r="A292" s="91">
        <v>292</v>
      </c>
      <c r="B292" s="92">
        <v>30295</v>
      </c>
      <c r="C292" s="93" t="s">
        <v>206</v>
      </c>
      <c r="D292" s="94" t="s">
        <v>754</v>
      </c>
      <c r="E292" s="95"/>
      <c r="F292" s="96">
        <f>24058178.2451171/10000</f>
        <v>2405.8178245117101</v>
      </c>
      <c r="G292" s="97" t="s">
        <v>837</v>
      </c>
      <c r="H292" s="98">
        <v>0</v>
      </c>
      <c r="I292" s="98">
        <v>0</v>
      </c>
      <c r="J292" s="302">
        <f>ZoneInondable2022!G702</f>
        <v>53.168247000000001</v>
      </c>
      <c r="K292" s="302">
        <f>ZoneInondable2022!G183</f>
        <v>178.39490000000001</v>
      </c>
      <c r="L292" s="302">
        <f>ZoneInondable2022!G106</f>
        <v>300.82922000000002</v>
      </c>
      <c r="M292" s="302">
        <f>ZoneInondable2022!G531</f>
        <v>153.56128000000001</v>
      </c>
      <c r="N292" s="98"/>
      <c r="O292" s="98"/>
      <c r="P292" s="98"/>
      <c r="Q292" s="98">
        <f t="shared" si="41"/>
        <v>685.95364700000005</v>
      </c>
      <c r="R292" s="90">
        <f t="shared" si="39"/>
        <v>0.28512285511028779</v>
      </c>
      <c r="S292" s="324">
        <v>5.3274741145046378E-2</v>
      </c>
      <c r="T292" s="99">
        <v>128.16932184299998</v>
      </c>
      <c r="U292" s="100">
        <v>0</v>
      </c>
      <c r="V292" s="101">
        <v>0</v>
      </c>
      <c r="W292" s="101">
        <v>0</v>
      </c>
      <c r="X292" s="101">
        <v>0</v>
      </c>
      <c r="Y292" s="101">
        <v>0</v>
      </c>
      <c r="Z292" s="101"/>
      <c r="AA292" s="101"/>
      <c r="AB292" s="161">
        <f t="shared" si="42"/>
        <v>128.16932184299998</v>
      </c>
      <c r="AC292" s="216">
        <f t="shared" si="40"/>
        <v>5.3274741145046378E-2</v>
      </c>
    </row>
    <row r="293" spans="1:29" s="28" customFormat="1" ht="26.25" x14ac:dyDescent="0.25">
      <c r="A293" s="17">
        <v>293</v>
      </c>
      <c r="B293" s="18">
        <v>30296</v>
      </c>
      <c r="C293" s="19" t="s">
        <v>534</v>
      </c>
      <c r="D293" s="20" t="s">
        <v>766</v>
      </c>
      <c r="E293" s="21" t="s">
        <v>819</v>
      </c>
      <c r="F293" s="22">
        <f>18604135.0507812/10000</f>
        <v>1860.4135050781201</v>
      </c>
      <c r="G293" s="23" t="s">
        <v>761</v>
      </c>
      <c r="H293" s="302">
        <f>ZoneInondable2022!G430+ZoneInondable2022!G513</f>
        <v>39.408892999999999</v>
      </c>
      <c r="I293" s="24">
        <v>0</v>
      </c>
      <c r="J293" s="24">
        <f t="shared" si="43"/>
        <v>0</v>
      </c>
      <c r="K293" s="24">
        <v>0</v>
      </c>
      <c r="L293" s="24">
        <v>0</v>
      </c>
      <c r="M293" s="24">
        <v>0</v>
      </c>
      <c r="N293" s="24"/>
      <c r="O293" s="24"/>
      <c r="P293" s="24"/>
      <c r="Q293" s="24">
        <f t="shared" si="41"/>
        <v>39.408892999999999</v>
      </c>
      <c r="R293" s="85">
        <f t="shared" si="39"/>
        <v>2.1182867621865168E-2</v>
      </c>
      <c r="S293" s="324">
        <v>2.0652142541631707E-2</v>
      </c>
      <c r="T293" s="25">
        <v>38.421524893250002</v>
      </c>
      <c r="U293" s="26">
        <v>0</v>
      </c>
      <c r="V293" s="27">
        <v>0</v>
      </c>
      <c r="W293" s="27">
        <v>0</v>
      </c>
      <c r="X293" s="27">
        <v>0</v>
      </c>
      <c r="Y293" s="27">
        <v>0</v>
      </c>
      <c r="Z293" s="27"/>
      <c r="AA293" s="27"/>
      <c r="AB293" s="160">
        <f t="shared" si="42"/>
        <v>38.421524893250002</v>
      </c>
      <c r="AC293" s="216">
        <f t="shared" si="40"/>
        <v>2.0652142541631707E-2</v>
      </c>
    </row>
    <row r="294" spans="1:29" s="28" customFormat="1" ht="26.25" x14ac:dyDescent="0.25">
      <c r="A294" s="17">
        <v>294</v>
      </c>
      <c r="B294" s="18">
        <v>30297</v>
      </c>
      <c r="C294" s="19" t="s">
        <v>368</v>
      </c>
      <c r="D294" s="20" t="s">
        <v>785</v>
      </c>
      <c r="E294" s="21"/>
      <c r="F294" s="22">
        <f>33689711.7490234/10000</f>
        <v>3368.97117490234</v>
      </c>
      <c r="G294" s="23" t="s">
        <v>761</v>
      </c>
      <c r="H294" s="302">
        <f>ZoneInondable2022!G223</f>
        <v>72.548140000000004</v>
      </c>
      <c r="I294" s="24">
        <v>0</v>
      </c>
      <c r="J294" s="24">
        <f t="shared" si="43"/>
        <v>0</v>
      </c>
      <c r="K294" s="24">
        <v>0</v>
      </c>
      <c r="L294" s="24">
        <v>0</v>
      </c>
      <c r="M294" s="24">
        <v>0</v>
      </c>
      <c r="N294" s="24"/>
      <c r="O294" s="24"/>
      <c r="P294" s="24"/>
      <c r="Q294" s="24">
        <f t="shared" si="41"/>
        <v>72.548140000000004</v>
      </c>
      <c r="R294" s="85">
        <f t="shared" si="39"/>
        <v>2.1534212147749539E-2</v>
      </c>
      <c r="S294" s="324">
        <v>2.4077747487510466E-2</v>
      </c>
      <c r="T294" s="25">
        <v>81.117237242000002</v>
      </c>
      <c r="U294" s="26">
        <v>0</v>
      </c>
      <c r="V294" s="27">
        <v>0</v>
      </c>
      <c r="W294" s="27">
        <v>0</v>
      </c>
      <c r="X294" s="27">
        <v>0</v>
      </c>
      <c r="Y294" s="27">
        <v>0</v>
      </c>
      <c r="Z294" s="27"/>
      <c r="AA294" s="27"/>
      <c r="AB294" s="160">
        <f t="shared" si="42"/>
        <v>81.117237242000002</v>
      </c>
      <c r="AC294" s="216">
        <f t="shared" si="40"/>
        <v>2.4077747487510466E-2</v>
      </c>
    </row>
    <row r="295" spans="1:29" s="28" customFormat="1" ht="39" x14ac:dyDescent="0.25">
      <c r="A295" s="17">
        <v>295</v>
      </c>
      <c r="B295" s="18">
        <v>30298</v>
      </c>
      <c r="C295" s="19" t="s">
        <v>691</v>
      </c>
      <c r="D295" s="20" t="s">
        <v>754</v>
      </c>
      <c r="E295" s="21"/>
      <c r="F295" s="22">
        <f>16172964.5175781/10000</f>
        <v>1617.29645175781</v>
      </c>
      <c r="G295" s="23" t="s">
        <v>761</v>
      </c>
      <c r="H295" s="302">
        <f>ZoneInondable2022!G748</f>
        <v>31.376463000000001</v>
      </c>
      <c r="I295" s="24">
        <v>0</v>
      </c>
      <c r="J295" s="24">
        <f t="shared" si="43"/>
        <v>0</v>
      </c>
      <c r="K295" s="24">
        <v>0</v>
      </c>
      <c r="L295" s="24">
        <v>0</v>
      </c>
      <c r="M295" s="24">
        <v>0</v>
      </c>
      <c r="N295" s="24"/>
      <c r="O295" s="24"/>
      <c r="P295" s="24"/>
      <c r="Q295" s="24">
        <f t="shared" si="41"/>
        <v>31.376463000000001</v>
      </c>
      <c r="R295" s="85">
        <f t="shared" si="39"/>
        <v>1.9400563802571567E-2</v>
      </c>
      <c r="S295" s="324">
        <v>1.9035851031416407E-2</v>
      </c>
      <c r="T295" s="25">
        <v>30.786614329300001</v>
      </c>
      <c r="U295" s="26">
        <v>0</v>
      </c>
      <c r="V295" s="27">
        <v>0</v>
      </c>
      <c r="W295" s="27">
        <v>0</v>
      </c>
      <c r="X295" s="27">
        <v>0</v>
      </c>
      <c r="Y295" s="27">
        <v>0</v>
      </c>
      <c r="Z295" s="27"/>
      <c r="AA295" s="27"/>
      <c r="AB295" s="160">
        <f t="shared" si="42"/>
        <v>30.786614329300001</v>
      </c>
      <c r="AC295" s="216">
        <f t="shared" si="40"/>
        <v>1.9035851031416407E-2</v>
      </c>
    </row>
    <row r="296" spans="1:29" s="102" customFormat="1" ht="21" customHeight="1" x14ac:dyDescent="0.25">
      <c r="A296" s="91">
        <v>296</v>
      </c>
      <c r="B296" s="92">
        <v>30299</v>
      </c>
      <c r="C296" s="93" t="s">
        <v>580</v>
      </c>
      <c r="D296" s="94" t="s">
        <v>754</v>
      </c>
      <c r="E296" s="95"/>
      <c r="F296" s="96">
        <f>11441970.7729492/10000</f>
        <v>1144.1970772949201</v>
      </c>
      <c r="G296" s="97" t="s">
        <v>837</v>
      </c>
      <c r="H296" s="98">
        <v>0</v>
      </c>
      <c r="I296" s="98">
        <v>0</v>
      </c>
      <c r="J296" s="302">
        <f>ZoneInondable2022!G548</f>
        <v>24.904547000000001</v>
      </c>
      <c r="K296" s="302">
        <f>ZoneInondable2022!G700</f>
        <v>89.474869999999996</v>
      </c>
      <c r="L296" s="302">
        <f>ZoneInondable2022!G796</f>
        <v>69.060280000000006</v>
      </c>
      <c r="M296" s="302">
        <f>ZoneInondable2022!G586</f>
        <v>40.861767</v>
      </c>
      <c r="N296" s="98"/>
      <c r="O296" s="98"/>
      <c r="P296" s="98"/>
      <c r="Q296" s="98">
        <f t="shared" si="41"/>
        <v>224.30146400000001</v>
      </c>
      <c r="R296" s="90">
        <f t="shared" si="39"/>
        <v>0.19603394244834771</v>
      </c>
      <c r="S296" s="324">
        <v>5.9314657004762572E-2</v>
      </c>
      <c r="T296" s="99">
        <v>67.867657185599995</v>
      </c>
      <c r="U296" s="100">
        <v>0</v>
      </c>
      <c r="V296" s="101">
        <v>0</v>
      </c>
      <c r="W296" s="101">
        <v>0</v>
      </c>
      <c r="X296" s="101">
        <v>0</v>
      </c>
      <c r="Y296" s="101">
        <v>0</v>
      </c>
      <c r="Z296" s="101"/>
      <c r="AA296" s="101"/>
      <c r="AB296" s="161">
        <f t="shared" si="42"/>
        <v>67.867657185599995</v>
      </c>
      <c r="AC296" s="216">
        <f t="shared" si="40"/>
        <v>5.9314657004762572E-2</v>
      </c>
    </row>
    <row r="297" spans="1:29" s="149" customFormat="1" ht="26.25" x14ac:dyDescent="0.25">
      <c r="A297" s="138">
        <v>297</v>
      </c>
      <c r="B297" s="139">
        <v>30300</v>
      </c>
      <c r="C297" s="140" t="s">
        <v>820</v>
      </c>
      <c r="D297" s="141" t="s">
        <v>755</v>
      </c>
      <c r="E297" s="137"/>
      <c r="F297" s="142">
        <f>8581329.70898437/10000</f>
        <v>858.13297089843695</v>
      </c>
      <c r="G297" s="143" t="s">
        <v>778</v>
      </c>
      <c r="H297" s="144">
        <v>0</v>
      </c>
      <c r="I297" s="144">
        <v>0</v>
      </c>
      <c r="J297" s="144">
        <f t="shared" si="43"/>
        <v>0</v>
      </c>
      <c r="K297" s="144">
        <v>0</v>
      </c>
      <c r="L297" s="144">
        <v>0</v>
      </c>
      <c r="M297" s="302">
        <f>ZoneInondable2022!G474</f>
        <v>1.9958777E-2</v>
      </c>
      <c r="N297" s="144"/>
      <c r="O297" s="144"/>
      <c r="P297" s="144"/>
      <c r="Q297" s="144">
        <f t="shared" si="41"/>
        <v>1.9958777E-2</v>
      </c>
      <c r="R297" s="145">
        <f t="shared" si="39"/>
        <v>2.3258373325411116E-5</v>
      </c>
      <c r="S297" s="324">
        <v>0</v>
      </c>
      <c r="T297" s="146">
        <v>0</v>
      </c>
      <c r="U297" s="147">
        <v>0</v>
      </c>
      <c r="V297" s="148">
        <v>0</v>
      </c>
      <c r="W297" s="148">
        <v>0</v>
      </c>
      <c r="X297" s="148">
        <v>0</v>
      </c>
      <c r="Y297" s="148">
        <v>0</v>
      </c>
      <c r="Z297" s="148"/>
      <c r="AA297" s="148"/>
      <c r="AB297" s="51">
        <f t="shared" si="42"/>
        <v>0</v>
      </c>
      <c r="AC297" s="216">
        <f t="shared" si="40"/>
        <v>0</v>
      </c>
    </row>
    <row r="298" spans="1:29" s="81" customFormat="1" ht="26.25" x14ac:dyDescent="0.25">
      <c r="A298" s="70">
        <v>298</v>
      </c>
      <c r="B298" s="71">
        <v>30303</v>
      </c>
      <c r="C298" s="72" t="s">
        <v>540</v>
      </c>
      <c r="D298" s="84" t="s">
        <v>765</v>
      </c>
      <c r="E298" s="69"/>
      <c r="F298" s="74">
        <f>11057992.2128906/10000</f>
        <v>1105.7992212890601</v>
      </c>
      <c r="G298" s="75" t="s">
        <v>11</v>
      </c>
      <c r="H298" s="76">
        <v>0</v>
      </c>
      <c r="I298" s="76">
        <v>0</v>
      </c>
      <c r="J298" s="76">
        <f t="shared" si="43"/>
        <v>0</v>
      </c>
      <c r="K298" s="302">
        <f>ZoneInondable2022!G442</f>
        <v>210.25237999999999</v>
      </c>
      <c r="L298" s="302">
        <f>ZoneInondable2022!G579</f>
        <v>16.445744999999999</v>
      </c>
      <c r="M298" s="302">
        <f>ZoneInondable2022!G616</f>
        <v>24.108152</v>
      </c>
      <c r="N298" s="76"/>
      <c r="O298" s="76"/>
      <c r="P298" s="76"/>
      <c r="Q298" s="76">
        <f t="shared" si="41"/>
        <v>250.80627699999997</v>
      </c>
      <c r="R298" s="77">
        <f t="shared" si="39"/>
        <v>0.22680995986561492</v>
      </c>
      <c r="S298" s="324">
        <v>0.22917319421990068</v>
      </c>
      <c r="T298" s="78">
        <v>0</v>
      </c>
      <c r="U298" s="79">
        <v>0</v>
      </c>
      <c r="V298" s="80">
        <v>0</v>
      </c>
      <c r="W298" s="80">
        <v>212.60086883279999</v>
      </c>
      <c r="X298" s="80">
        <v>16.468268160892698</v>
      </c>
      <c r="Y298" s="80">
        <v>24.350402715000001</v>
      </c>
      <c r="Z298" s="80"/>
      <c r="AA298" s="80"/>
      <c r="AB298" s="164">
        <f t="shared" si="42"/>
        <v>253.4195397086927</v>
      </c>
      <c r="AC298" s="216">
        <f t="shared" si="40"/>
        <v>0.22917319421990068</v>
      </c>
    </row>
    <row r="299" spans="1:29" s="102" customFormat="1" ht="26.25" x14ac:dyDescent="0.25">
      <c r="A299" s="91">
        <v>299</v>
      </c>
      <c r="B299" s="92">
        <v>30301</v>
      </c>
      <c r="C299" s="93" t="s">
        <v>821</v>
      </c>
      <c r="D299" s="94" t="s">
        <v>754</v>
      </c>
      <c r="E299" s="95"/>
      <c r="F299" s="96">
        <f>4784495.04345703/10000</f>
        <v>478.44950434570302</v>
      </c>
      <c r="G299" s="97" t="s">
        <v>837</v>
      </c>
      <c r="H299" s="98">
        <v>0</v>
      </c>
      <c r="I299" s="98">
        <v>0</v>
      </c>
      <c r="J299" s="302">
        <f>ZoneInondable2022!G63</f>
        <v>1.2263637000000001</v>
      </c>
      <c r="K299" s="302">
        <f>ZoneInondable2022!G369</f>
        <v>3.7919369000000001</v>
      </c>
      <c r="L299" s="302">
        <f>ZoneInondable2022!G269</f>
        <v>11.572202000000001</v>
      </c>
      <c r="M299" s="302">
        <f>ZoneInondable2022!G281</f>
        <v>16.537167</v>
      </c>
      <c r="N299" s="98"/>
      <c r="O299" s="98"/>
      <c r="P299" s="98"/>
      <c r="Q299" s="98">
        <f t="shared" si="41"/>
        <v>33.127669600000004</v>
      </c>
      <c r="R299" s="90">
        <f t="shared" si="39"/>
        <v>6.9239636156177634E-2</v>
      </c>
      <c r="S299" s="324">
        <v>0</v>
      </c>
      <c r="T299" s="99">
        <v>0</v>
      </c>
      <c r="U299" s="100">
        <v>0</v>
      </c>
      <c r="V299" s="101">
        <v>0</v>
      </c>
      <c r="W299" s="101">
        <v>0</v>
      </c>
      <c r="X299" s="101">
        <v>0</v>
      </c>
      <c r="Y299" s="101">
        <v>0</v>
      </c>
      <c r="Z299" s="101"/>
      <c r="AA299" s="101"/>
      <c r="AB299" s="161">
        <f t="shared" si="42"/>
        <v>0</v>
      </c>
      <c r="AC299" s="216">
        <f t="shared" si="40"/>
        <v>0</v>
      </c>
    </row>
    <row r="300" spans="1:29" s="28" customFormat="1" ht="26.25" x14ac:dyDescent="0.25">
      <c r="A300" s="17">
        <v>300</v>
      </c>
      <c r="B300" s="18">
        <v>30302</v>
      </c>
      <c r="C300" s="19" t="s">
        <v>822</v>
      </c>
      <c r="D300" s="20" t="s">
        <v>765</v>
      </c>
      <c r="E300" s="21" t="s">
        <v>787</v>
      </c>
      <c r="F300" s="22">
        <f>26716641.3237304/10000</f>
        <v>2671.66413237304</v>
      </c>
      <c r="G300" s="23" t="s">
        <v>761</v>
      </c>
      <c r="H300" s="302">
        <f>ZoneInondable2022!G869</f>
        <v>19.843889999999998</v>
      </c>
      <c r="I300" s="24">
        <v>0</v>
      </c>
      <c r="J300" s="24">
        <f t="shared" si="43"/>
        <v>0</v>
      </c>
      <c r="K300" s="24">
        <f t="shared" ref="K300:M300" si="44">W300/10000</f>
        <v>0</v>
      </c>
      <c r="L300" s="24">
        <f t="shared" si="44"/>
        <v>0</v>
      </c>
      <c r="M300" s="24">
        <f t="shared" si="44"/>
        <v>0</v>
      </c>
      <c r="N300" s="24"/>
      <c r="O300" s="24"/>
      <c r="P300" s="24"/>
      <c r="Q300" s="24">
        <f t="shared" si="41"/>
        <v>19.843889999999998</v>
      </c>
      <c r="R300" s="85">
        <f t="shared" si="39"/>
        <v>7.42753917288778E-3</v>
      </c>
      <c r="S300" s="324">
        <v>6.8371621896481209E-3</v>
      </c>
      <c r="T300" s="25">
        <v>18.266600989300002</v>
      </c>
      <c r="U300" s="26">
        <v>0</v>
      </c>
      <c r="V300" s="27">
        <v>0</v>
      </c>
      <c r="W300" s="27">
        <v>0</v>
      </c>
      <c r="X300" s="27">
        <v>0</v>
      </c>
      <c r="Y300" s="27">
        <v>0</v>
      </c>
      <c r="Z300" s="27"/>
      <c r="AA300" s="27"/>
      <c r="AB300" s="160">
        <f t="shared" si="42"/>
        <v>18.266600989300002</v>
      </c>
      <c r="AC300" s="216">
        <f t="shared" si="40"/>
        <v>6.8371621896481209E-3</v>
      </c>
    </row>
    <row r="301" spans="1:29" s="81" customFormat="1" ht="26.25" x14ac:dyDescent="0.25">
      <c r="A301" s="70">
        <v>301</v>
      </c>
      <c r="B301" s="71">
        <v>30228</v>
      </c>
      <c r="C301" s="72" t="s">
        <v>129</v>
      </c>
      <c r="D301" s="84" t="s">
        <v>754</v>
      </c>
      <c r="E301" s="69"/>
      <c r="F301" s="74">
        <f>43846878.3154296/10000</f>
        <v>4384.6878315429594</v>
      </c>
      <c r="G301" s="75" t="s">
        <v>11</v>
      </c>
      <c r="H301" s="76">
        <v>0</v>
      </c>
      <c r="I301" s="76">
        <v>0</v>
      </c>
      <c r="J301" s="302">
        <f>ZoneInondable2022!G715</f>
        <v>2.0686816E-2</v>
      </c>
      <c r="K301" s="302">
        <f>ZoneInondable2022!G411</f>
        <v>873.61774000000003</v>
      </c>
      <c r="L301" s="302">
        <f>ZoneInondable2022!G60</f>
        <v>192.22461999999999</v>
      </c>
      <c r="M301" s="302">
        <f>ZoneInondable2022!G555</f>
        <v>232.88376</v>
      </c>
      <c r="N301" s="76"/>
      <c r="O301" s="76"/>
      <c r="P301" s="76"/>
      <c r="Q301" s="76">
        <f t="shared" si="41"/>
        <v>1298.7468068159999</v>
      </c>
      <c r="R301" s="77">
        <f t="shared" si="39"/>
        <v>0.29620051796457642</v>
      </c>
      <c r="S301" s="324">
        <v>0.29878454520193004</v>
      </c>
      <c r="T301" s="78">
        <v>0</v>
      </c>
      <c r="U301" s="79">
        <v>0</v>
      </c>
      <c r="V301" s="80">
        <v>0</v>
      </c>
      <c r="W301" s="80">
        <v>881.37378609999996</v>
      </c>
      <c r="X301" s="80">
        <v>194.5038773</v>
      </c>
      <c r="Y301" s="80">
        <v>234.19929619999999</v>
      </c>
      <c r="Z301" s="80"/>
      <c r="AA301" s="80"/>
      <c r="AB301" s="164">
        <f t="shared" si="42"/>
        <v>1310.0769596</v>
      </c>
      <c r="AC301" s="216">
        <f t="shared" si="40"/>
        <v>0.29878454520193004</v>
      </c>
    </row>
    <row r="302" spans="1:29" s="81" customFormat="1" ht="26.25" x14ac:dyDescent="0.25">
      <c r="A302" s="70">
        <v>302</v>
      </c>
      <c r="B302" s="71">
        <v>30239</v>
      </c>
      <c r="C302" s="72" t="s">
        <v>330</v>
      </c>
      <c r="D302" s="84" t="s">
        <v>754</v>
      </c>
      <c r="E302" s="69"/>
      <c r="F302" s="74">
        <f>19047168.8012695/10000</f>
        <v>1904.7168801269502</v>
      </c>
      <c r="G302" s="75" t="s">
        <v>11</v>
      </c>
      <c r="H302" s="76">
        <v>0</v>
      </c>
      <c r="I302" s="76">
        <v>0</v>
      </c>
      <c r="J302" s="76">
        <f t="shared" ref="J302:J314" si="45">V302/10000</f>
        <v>0</v>
      </c>
      <c r="K302" s="302">
        <f>ZoneInondable2022!G231</f>
        <v>48.78087</v>
      </c>
      <c r="L302" s="302">
        <f>ZoneInondable2022!G854</f>
        <v>0.34831246999999999</v>
      </c>
      <c r="M302" s="302">
        <f>ZoneInondable2022!G199</f>
        <v>21.10108</v>
      </c>
      <c r="N302" s="76"/>
      <c r="O302" s="76"/>
      <c r="P302" s="76"/>
      <c r="Q302" s="76">
        <f t="shared" si="41"/>
        <v>70.23026247</v>
      </c>
      <c r="R302" s="77">
        <f t="shared" si="39"/>
        <v>3.68717593689405E-2</v>
      </c>
      <c r="S302" s="324">
        <v>3.7319368785082525E-2</v>
      </c>
      <c r="T302" s="78">
        <v>0</v>
      </c>
      <c r="U302" s="79">
        <v>0</v>
      </c>
      <c r="V302" s="80">
        <v>0</v>
      </c>
      <c r="W302" s="80">
        <v>49.683755537910599</v>
      </c>
      <c r="X302" s="80">
        <v>0.34823181391887703</v>
      </c>
      <c r="Y302" s="80">
        <v>21.0508443288</v>
      </c>
      <c r="Z302" s="80"/>
      <c r="AA302" s="80"/>
      <c r="AB302" s="164">
        <f t="shared" si="42"/>
        <v>71.082831680629482</v>
      </c>
      <c r="AC302" s="216">
        <f t="shared" si="40"/>
        <v>3.7319368785082525E-2</v>
      </c>
    </row>
    <row r="303" spans="1:29" s="149" customFormat="1" ht="26.25" x14ac:dyDescent="0.25">
      <c r="A303" s="138">
        <v>303</v>
      </c>
      <c r="B303" s="139">
        <v>30246</v>
      </c>
      <c r="C303" s="140" t="s">
        <v>823</v>
      </c>
      <c r="D303" s="141" t="s">
        <v>754</v>
      </c>
      <c r="E303" s="137"/>
      <c r="F303" s="142">
        <f>7805368.02978515/10000</f>
        <v>780.53680297851497</v>
      </c>
      <c r="G303" s="143" t="s">
        <v>778</v>
      </c>
      <c r="H303" s="144">
        <f>T303/10000</f>
        <v>0</v>
      </c>
      <c r="I303" s="144">
        <v>0</v>
      </c>
      <c r="J303" s="144">
        <f t="shared" si="45"/>
        <v>0</v>
      </c>
      <c r="K303" s="144">
        <v>0</v>
      </c>
      <c r="L303" s="144">
        <v>0</v>
      </c>
      <c r="M303" s="144">
        <v>0</v>
      </c>
      <c r="N303" s="144"/>
      <c r="O303" s="144"/>
      <c r="P303" s="144"/>
      <c r="Q303" s="144">
        <f t="shared" si="41"/>
        <v>0</v>
      </c>
      <c r="R303" s="145">
        <f t="shared" si="39"/>
        <v>0</v>
      </c>
      <c r="S303" s="324">
        <v>0</v>
      </c>
      <c r="T303" s="146">
        <v>0</v>
      </c>
      <c r="U303" s="147">
        <v>0</v>
      </c>
      <c r="V303" s="148">
        <v>0</v>
      </c>
      <c r="W303" s="148">
        <v>0</v>
      </c>
      <c r="X303" s="148">
        <v>0</v>
      </c>
      <c r="Y303" s="148">
        <v>0</v>
      </c>
      <c r="Z303" s="148"/>
      <c r="AA303" s="148"/>
      <c r="AB303" s="51">
        <f t="shared" si="42"/>
        <v>0</v>
      </c>
      <c r="AC303" s="216">
        <f t="shared" si="40"/>
        <v>0</v>
      </c>
    </row>
    <row r="304" spans="1:29" s="28" customFormat="1" ht="21" customHeight="1" x14ac:dyDescent="0.25">
      <c r="A304" s="17">
        <v>304</v>
      </c>
      <c r="B304" s="18">
        <v>30304</v>
      </c>
      <c r="C304" s="19" t="s">
        <v>497</v>
      </c>
      <c r="D304" s="20" t="s">
        <v>765</v>
      </c>
      <c r="E304" s="21" t="s">
        <v>772</v>
      </c>
      <c r="F304" s="22">
        <f>9950249.67236328/10000</f>
        <v>995.02496723632794</v>
      </c>
      <c r="G304" s="23" t="s">
        <v>761</v>
      </c>
      <c r="H304" s="302">
        <f>ZoneInondable2022!G359</f>
        <v>24.723987999999999</v>
      </c>
      <c r="I304" s="24">
        <v>0</v>
      </c>
      <c r="J304" s="24">
        <f t="shared" si="45"/>
        <v>0</v>
      </c>
      <c r="K304" s="24">
        <v>0</v>
      </c>
      <c r="L304" s="24">
        <v>0</v>
      </c>
      <c r="M304" s="24">
        <v>0</v>
      </c>
      <c r="N304" s="24"/>
      <c r="O304" s="24"/>
      <c r="P304" s="24"/>
      <c r="Q304" s="24">
        <f t="shared" si="41"/>
        <v>24.723987999999999</v>
      </c>
      <c r="R304" s="85">
        <f t="shared" si="39"/>
        <v>2.484760565221859E-2</v>
      </c>
      <c r="S304" s="324">
        <v>2.2330224966528648E-2</v>
      </c>
      <c r="T304" s="25">
        <v>22.219131365700001</v>
      </c>
      <c r="U304" s="26">
        <v>0</v>
      </c>
      <c r="V304" s="27">
        <v>0</v>
      </c>
      <c r="W304" s="27">
        <v>0</v>
      </c>
      <c r="X304" s="27">
        <v>0</v>
      </c>
      <c r="Y304" s="27">
        <v>0</v>
      </c>
      <c r="Z304" s="27"/>
      <c r="AA304" s="27"/>
      <c r="AB304" s="160">
        <f t="shared" si="42"/>
        <v>22.219131365700001</v>
      </c>
      <c r="AC304" s="216">
        <f t="shared" si="40"/>
        <v>2.2330224966528648E-2</v>
      </c>
    </row>
    <row r="305" spans="1:29" s="81" customFormat="1" ht="21.75" customHeight="1" x14ac:dyDescent="0.25">
      <c r="A305" s="70">
        <v>305</v>
      </c>
      <c r="B305" s="71">
        <v>30305</v>
      </c>
      <c r="C305" s="72" t="s">
        <v>256</v>
      </c>
      <c r="D305" s="84" t="s">
        <v>754</v>
      </c>
      <c r="E305" s="69" t="s">
        <v>783</v>
      </c>
      <c r="F305" s="74">
        <f>11596098.4633789/10000</f>
        <v>1159.6098463378901</v>
      </c>
      <c r="G305" s="75" t="s">
        <v>11</v>
      </c>
      <c r="H305" s="76">
        <v>0</v>
      </c>
      <c r="I305" s="76">
        <v>0</v>
      </c>
      <c r="J305" s="76">
        <f t="shared" si="45"/>
        <v>0</v>
      </c>
      <c r="K305" s="302">
        <f>ZoneInondable2022!G427</f>
        <v>66.8874</v>
      </c>
      <c r="L305" s="302">
        <f>ZoneInondable2022!G137</f>
        <v>26.13307</v>
      </c>
      <c r="M305" s="302">
        <f>ZoneInondable2022!G434</f>
        <v>139.67304999999999</v>
      </c>
      <c r="N305" s="76"/>
      <c r="O305" s="76"/>
      <c r="P305" s="76"/>
      <c r="Q305" s="76">
        <f t="shared" si="41"/>
        <v>232.69351999999998</v>
      </c>
      <c r="R305" s="77">
        <f t="shared" si="39"/>
        <v>0.20066535372639216</v>
      </c>
      <c r="S305" s="324">
        <v>0.32639778853117857</v>
      </c>
      <c r="T305" s="78">
        <v>0</v>
      </c>
      <c r="U305" s="79">
        <v>0</v>
      </c>
      <c r="V305" s="80">
        <v>0</v>
      </c>
      <c r="W305" s="80">
        <v>70.26910852512691</v>
      </c>
      <c r="X305" s="80">
        <v>26.478066288540198</v>
      </c>
      <c r="Y305" s="80">
        <v>281.74691458999996</v>
      </c>
      <c r="Z305" s="80"/>
      <c r="AA305" s="80"/>
      <c r="AB305" s="164">
        <f t="shared" si="42"/>
        <v>378.49408940366709</v>
      </c>
      <c r="AC305" s="216">
        <f t="shared" si="40"/>
        <v>0.32639778853117857</v>
      </c>
    </row>
    <row r="306" spans="1:29" s="81" customFormat="1" ht="20.25" customHeight="1" x14ac:dyDescent="0.25">
      <c r="A306" s="70">
        <v>306</v>
      </c>
      <c r="B306" s="71">
        <v>30306</v>
      </c>
      <c r="C306" s="72" t="s">
        <v>244</v>
      </c>
      <c r="D306" s="84" t="s">
        <v>755</v>
      </c>
      <c r="E306" s="69"/>
      <c r="F306" s="74">
        <f>8933766.87841796/10000</f>
        <v>893.37668784179596</v>
      </c>
      <c r="G306" s="75" t="s">
        <v>11</v>
      </c>
      <c r="H306" s="76">
        <v>0</v>
      </c>
      <c r="I306" s="76">
        <v>0</v>
      </c>
      <c r="J306" s="76">
        <f t="shared" si="45"/>
        <v>0</v>
      </c>
      <c r="K306" s="302">
        <f>ZoneInondable2022!G126</f>
        <v>179.45705000000001</v>
      </c>
      <c r="L306" s="302">
        <f>ZoneInondable2022!G412</f>
        <v>0.12068046</v>
      </c>
      <c r="M306" s="302">
        <f>ZoneInondable2022!G705</f>
        <v>44.721553999999998</v>
      </c>
      <c r="N306" s="76"/>
      <c r="O306" s="76"/>
      <c r="P306" s="76"/>
      <c r="Q306" s="76">
        <f t="shared" si="41"/>
        <v>224.29928446</v>
      </c>
      <c r="R306" s="77">
        <f t="shared" si="39"/>
        <v>0.25106910389822051</v>
      </c>
      <c r="S306" s="324">
        <v>0.25723642211602682</v>
      </c>
      <c r="T306" s="78">
        <v>0</v>
      </c>
      <c r="U306" s="79">
        <v>0</v>
      </c>
      <c r="V306" s="80">
        <v>0</v>
      </c>
      <c r="W306" s="80">
        <v>184.09358782800001</v>
      </c>
      <c r="X306" s="80">
        <v>0.12029406230100001</v>
      </c>
      <c r="Y306" s="80">
        <v>45.595140891989097</v>
      </c>
      <c r="Z306" s="80"/>
      <c r="AA306" s="80"/>
      <c r="AB306" s="164">
        <f t="shared" si="42"/>
        <v>229.80902278229013</v>
      </c>
      <c r="AC306" s="216">
        <f t="shared" si="40"/>
        <v>0.25723642211602682</v>
      </c>
    </row>
    <row r="307" spans="1:29" s="81" customFormat="1" ht="26.25" x14ac:dyDescent="0.25">
      <c r="A307" s="70">
        <v>307</v>
      </c>
      <c r="B307" s="71">
        <v>30307</v>
      </c>
      <c r="C307" s="72" t="s">
        <v>41</v>
      </c>
      <c r="D307" s="84" t="s">
        <v>754</v>
      </c>
      <c r="E307" s="69"/>
      <c r="F307" s="74">
        <f>21052567.0795898/10000</f>
        <v>2105.2567079589799</v>
      </c>
      <c r="G307" s="75" t="s">
        <v>11</v>
      </c>
      <c r="H307" s="76">
        <v>0</v>
      </c>
      <c r="I307" s="76">
        <v>0</v>
      </c>
      <c r="J307" s="76">
        <f t="shared" si="45"/>
        <v>0</v>
      </c>
      <c r="K307" s="302">
        <f>ZoneInondable2022!G76</f>
        <v>90.862179999999995</v>
      </c>
      <c r="L307" s="302">
        <f>ZoneInondable2022!G12</f>
        <v>31.495446999999999</v>
      </c>
      <c r="M307" s="302">
        <f>ZoneInondable2022!G800</f>
        <v>105.66155999999999</v>
      </c>
      <c r="N307" s="76"/>
      <c r="O307" s="76"/>
      <c r="P307" s="76"/>
      <c r="Q307" s="76">
        <f t="shared" si="41"/>
        <v>228.01918699999999</v>
      </c>
      <c r="R307" s="77">
        <f t="shared" si="39"/>
        <v>0.10830944565475902</v>
      </c>
      <c r="S307" s="324">
        <v>0.104609832339831</v>
      </c>
      <c r="T307" s="78">
        <v>0</v>
      </c>
      <c r="U307" s="79">
        <v>0</v>
      </c>
      <c r="V307" s="80">
        <v>0</v>
      </c>
      <c r="W307" s="80">
        <v>84.560836397631704</v>
      </c>
      <c r="X307" s="80">
        <v>31.241655360261699</v>
      </c>
      <c r="Y307" s="80">
        <v>104.428059494</v>
      </c>
      <c r="Z307" s="80"/>
      <c r="AA307" s="80"/>
      <c r="AB307" s="164">
        <f t="shared" si="42"/>
        <v>220.23055125189342</v>
      </c>
      <c r="AC307" s="216">
        <f t="shared" si="40"/>
        <v>0.104609832339831</v>
      </c>
    </row>
    <row r="308" spans="1:29" s="81" customFormat="1" ht="26.25" x14ac:dyDescent="0.25">
      <c r="A308" s="70">
        <v>308</v>
      </c>
      <c r="B308" s="71">
        <v>30308</v>
      </c>
      <c r="C308" s="72" t="s">
        <v>90</v>
      </c>
      <c r="D308" s="84" t="s">
        <v>754</v>
      </c>
      <c r="E308" s="69"/>
      <c r="F308" s="74">
        <f>22208792.496582/10000</f>
        <v>2220.8792496582</v>
      </c>
      <c r="G308" s="75" t="s">
        <v>11</v>
      </c>
      <c r="H308" s="76">
        <v>0</v>
      </c>
      <c r="I308" s="76">
        <v>0</v>
      </c>
      <c r="J308" s="76">
        <f t="shared" si="45"/>
        <v>0</v>
      </c>
      <c r="K308" s="302">
        <f>ZoneInondable2022!G795</f>
        <v>135.01881</v>
      </c>
      <c r="L308" s="302">
        <f>ZoneInondable2022!G134</f>
        <v>38.418100000000003</v>
      </c>
      <c r="M308" s="302">
        <f>ZoneInondable2022!G37</f>
        <v>122.01161999999999</v>
      </c>
      <c r="N308" s="76"/>
      <c r="O308" s="76"/>
      <c r="P308" s="76"/>
      <c r="Q308" s="76">
        <f t="shared" si="41"/>
        <v>295.44853000000001</v>
      </c>
      <c r="R308" s="77">
        <f t="shared" si="39"/>
        <v>0.13303223488871374</v>
      </c>
      <c r="S308" s="324">
        <v>0.13366927096360062</v>
      </c>
      <c r="T308" s="78">
        <v>0</v>
      </c>
      <c r="U308" s="79">
        <v>0</v>
      </c>
      <c r="V308" s="80">
        <v>0</v>
      </c>
      <c r="W308" s="80">
        <v>133.97510759999994</v>
      </c>
      <c r="X308" s="80">
        <v>39.408831800000002</v>
      </c>
      <c r="Y308" s="80">
        <v>123.47937080000001</v>
      </c>
      <c r="Z308" s="80"/>
      <c r="AA308" s="80"/>
      <c r="AB308" s="164">
        <f t="shared" si="42"/>
        <v>296.86331019999994</v>
      </c>
      <c r="AC308" s="216">
        <f t="shared" si="40"/>
        <v>0.13366927096360062</v>
      </c>
    </row>
    <row r="309" spans="1:29" s="81" customFormat="1" ht="18" customHeight="1" x14ac:dyDescent="0.25">
      <c r="A309" s="70">
        <v>309</v>
      </c>
      <c r="B309" s="71">
        <v>30309</v>
      </c>
      <c r="C309" s="72" t="s">
        <v>26</v>
      </c>
      <c r="D309" s="84" t="s">
        <v>755</v>
      </c>
      <c r="E309" s="69"/>
      <c r="F309" s="74">
        <f>6370349.21484375/10000</f>
        <v>637.03492148437499</v>
      </c>
      <c r="G309" s="75" t="s">
        <v>11</v>
      </c>
      <c r="H309" s="76">
        <v>0</v>
      </c>
      <c r="I309" s="76">
        <v>0</v>
      </c>
      <c r="J309" s="76">
        <f t="shared" si="45"/>
        <v>0</v>
      </c>
      <c r="K309" s="302">
        <f>ZoneInondable2022!G479</f>
        <v>176.32839999999999</v>
      </c>
      <c r="L309" s="302">
        <f>ZoneInondable2022!G856</f>
        <v>0.79142714000000003</v>
      </c>
      <c r="M309" s="302">
        <f>ZoneInondable2022!G7</f>
        <v>19.847197999999999</v>
      </c>
      <c r="N309" s="76"/>
      <c r="O309" s="76"/>
      <c r="P309" s="76"/>
      <c r="Q309" s="76">
        <f t="shared" si="41"/>
        <v>196.96702513999998</v>
      </c>
      <c r="R309" s="77">
        <f t="shared" si="39"/>
        <v>0.30919344999335507</v>
      </c>
      <c r="S309" s="324">
        <v>0.31560214847694551</v>
      </c>
      <c r="T309" s="78">
        <v>0</v>
      </c>
      <c r="U309" s="79">
        <v>0</v>
      </c>
      <c r="V309" s="80">
        <v>0</v>
      </c>
      <c r="W309" s="80">
        <v>181.41135338500001</v>
      </c>
      <c r="X309" s="80">
        <v>0.77775152231099998</v>
      </c>
      <c r="Y309" s="80">
        <v>18.860484968000002</v>
      </c>
      <c r="Z309" s="80"/>
      <c r="AA309" s="80"/>
      <c r="AB309" s="164">
        <f t="shared" si="42"/>
        <v>201.04958987531103</v>
      </c>
      <c r="AC309" s="216">
        <f t="shared" si="40"/>
        <v>0.31560214847694551</v>
      </c>
    </row>
    <row r="310" spans="1:29" s="28" customFormat="1" ht="21.75" customHeight="1" x14ac:dyDescent="0.25">
      <c r="A310" s="17">
        <v>310</v>
      </c>
      <c r="B310" s="18">
        <v>30310</v>
      </c>
      <c r="C310" s="19" t="s">
        <v>236</v>
      </c>
      <c r="D310" s="20" t="s">
        <v>754</v>
      </c>
      <c r="E310" s="21"/>
      <c r="F310" s="22">
        <f>12263166.4179687/10000</f>
        <v>1226.31664179687</v>
      </c>
      <c r="G310" s="23" t="s">
        <v>761</v>
      </c>
      <c r="H310" s="302">
        <f>ZoneInondable2022!G122</f>
        <v>64.263859999999994</v>
      </c>
      <c r="I310" s="24">
        <v>0</v>
      </c>
      <c r="J310" s="24">
        <f t="shared" si="45"/>
        <v>0</v>
      </c>
      <c r="K310" s="24">
        <f t="shared" ref="K310:M311" si="46">W310/10000</f>
        <v>0</v>
      </c>
      <c r="L310" s="24">
        <f t="shared" si="46"/>
        <v>0</v>
      </c>
      <c r="M310" s="24">
        <f t="shared" si="46"/>
        <v>0</v>
      </c>
      <c r="N310" s="24"/>
      <c r="O310" s="24"/>
      <c r="P310" s="24"/>
      <c r="Q310" s="24">
        <f t="shared" si="41"/>
        <v>64.263859999999994</v>
      </c>
      <c r="R310" s="85">
        <f t="shared" si="39"/>
        <v>5.2403969586384207E-2</v>
      </c>
      <c r="S310" s="324">
        <v>5.2429645723221001E-2</v>
      </c>
      <c r="T310" s="25">
        <v>64.295347073900004</v>
      </c>
      <c r="U310" s="26">
        <v>0</v>
      </c>
      <c r="V310" s="27">
        <v>0</v>
      </c>
      <c r="W310" s="27">
        <v>0</v>
      </c>
      <c r="X310" s="27">
        <v>0</v>
      </c>
      <c r="Y310" s="27">
        <v>0</v>
      </c>
      <c r="Z310" s="27"/>
      <c r="AA310" s="27"/>
      <c r="AB310" s="160">
        <f t="shared" si="42"/>
        <v>64.295347073900004</v>
      </c>
      <c r="AC310" s="216">
        <f t="shared" si="40"/>
        <v>5.2429645723221001E-2</v>
      </c>
    </row>
    <row r="311" spans="1:29" s="28" customFormat="1" ht="15.75" customHeight="1" x14ac:dyDescent="0.25">
      <c r="A311" s="17">
        <v>311</v>
      </c>
      <c r="B311" s="18">
        <v>30311</v>
      </c>
      <c r="C311" s="19" t="s">
        <v>465</v>
      </c>
      <c r="D311" s="20" t="s">
        <v>755</v>
      </c>
      <c r="E311" s="21"/>
      <c r="F311" s="22">
        <f>31682752.9291992/10000</f>
        <v>3168.27529291992</v>
      </c>
      <c r="G311" s="23" t="s">
        <v>761</v>
      </c>
      <c r="H311" s="302">
        <f>ZoneInondable2022!G324</f>
        <v>268.99353000000002</v>
      </c>
      <c r="I311" s="302">
        <f>ZoneInondable2022!G719</f>
        <v>3.2615775999999999</v>
      </c>
      <c r="J311" s="24">
        <f t="shared" si="45"/>
        <v>0</v>
      </c>
      <c r="K311" s="24">
        <f t="shared" si="46"/>
        <v>0</v>
      </c>
      <c r="L311" s="24">
        <f t="shared" si="46"/>
        <v>0</v>
      </c>
      <c r="M311" s="24">
        <f t="shared" si="46"/>
        <v>0</v>
      </c>
      <c r="N311" s="24"/>
      <c r="O311" s="24"/>
      <c r="P311" s="24"/>
      <c r="Q311" s="24">
        <f t="shared" si="41"/>
        <v>272.25510760000003</v>
      </c>
      <c r="R311" s="85">
        <f t="shared" si="39"/>
        <v>8.5931644957874379E-2</v>
      </c>
      <c r="S311" s="324">
        <v>8.4180977238044311E-2</v>
      </c>
      <c r="T311" s="25">
        <v>263.74168882599997</v>
      </c>
      <c r="U311" s="26">
        <v>2.9668214911499997</v>
      </c>
      <c r="V311" s="27">
        <v>0</v>
      </c>
      <c r="W311" s="27">
        <v>0</v>
      </c>
      <c r="X311" s="27">
        <v>0</v>
      </c>
      <c r="Y311" s="27">
        <v>0</v>
      </c>
      <c r="Z311" s="27"/>
      <c r="AA311" s="27"/>
      <c r="AB311" s="160">
        <f t="shared" si="42"/>
        <v>266.70851031714994</v>
      </c>
      <c r="AC311" s="216">
        <f t="shared" si="40"/>
        <v>8.4180977238044311E-2</v>
      </c>
    </row>
    <row r="312" spans="1:29" s="81" customFormat="1" ht="21" customHeight="1" x14ac:dyDescent="0.25">
      <c r="A312" s="70">
        <v>312</v>
      </c>
      <c r="B312" s="71">
        <v>30312</v>
      </c>
      <c r="C312" s="72" t="s">
        <v>469</v>
      </c>
      <c r="D312" s="84" t="s">
        <v>767</v>
      </c>
      <c r="E312" s="69"/>
      <c r="F312" s="74">
        <f>13128830.8588867/10000</f>
        <v>1312.8830858886699</v>
      </c>
      <c r="G312" s="75" t="s">
        <v>11</v>
      </c>
      <c r="H312" s="76">
        <v>0</v>
      </c>
      <c r="I312" s="76">
        <v>0</v>
      </c>
      <c r="J312" s="76">
        <f t="shared" si="45"/>
        <v>0</v>
      </c>
      <c r="K312" s="302">
        <f>ZoneInondable2022!G378</f>
        <v>612.44604000000004</v>
      </c>
      <c r="L312" s="302">
        <f>ZoneInondable2022!G327</f>
        <v>209.8783</v>
      </c>
      <c r="M312" s="302">
        <f>ZoneInondable2022!G802</f>
        <v>84.715490000000003</v>
      </c>
      <c r="N312" s="76"/>
      <c r="O312" s="76"/>
      <c r="P312" s="76"/>
      <c r="Q312" s="76">
        <f t="shared" si="41"/>
        <v>907.03983000000005</v>
      </c>
      <c r="R312" s="77">
        <f t="shared" si="39"/>
        <v>0.69087631621519374</v>
      </c>
      <c r="S312" s="324">
        <v>0.69342264294903011</v>
      </c>
      <c r="T312" s="78">
        <v>0</v>
      </c>
      <c r="U312" s="79">
        <v>0</v>
      </c>
      <c r="V312" s="80">
        <v>0</v>
      </c>
      <c r="W312" s="80">
        <v>615.3365642</v>
      </c>
      <c r="X312" s="80">
        <v>210.2384352</v>
      </c>
      <c r="Y312" s="80">
        <v>84.807859900000011</v>
      </c>
      <c r="Z312" s="80"/>
      <c r="AA312" s="80"/>
      <c r="AB312" s="164">
        <f t="shared" si="42"/>
        <v>910.38285930000006</v>
      </c>
      <c r="AC312" s="216">
        <f t="shared" si="40"/>
        <v>0.69342264294903011</v>
      </c>
    </row>
    <row r="313" spans="1:29" s="81" customFormat="1" ht="17.25" customHeight="1" x14ac:dyDescent="0.25">
      <c r="A313" s="70">
        <v>313</v>
      </c>
      <c r="B313" s="71">
        <v>30313</v>
      </c>
      <c r="C313" s="72" t="s">
        <v>336</v>
      </c>
      <c r="D313" s="84" t="s">
        <v>754</v>
      </c>
      <c r="E313" s="206"/>
      <c r="F313" s="74">
        <f>6844330.44091796/10000</f>
        <v>684.43304409179609</v>
      </c>
      <c r="G313" s="75" t="s">
        <v>11</v>
      </c>
      <c r="H313" s="76">
        <v>0</v>
      </c>
      <c r="I313" s="76">
        <v>0</v>
      </c>
      <c r="J313" s="76">
        <f t="shared" si="45"/>
        <v>0</v>
      </c>
      <c r="K313" s="36">
        <f>ZoneInondable2022!G203-X313</f>
        <v>235.62589821213288</v>
      </c>
      <c r="L313" s="36">
        <f>0+X313</f>
        <v>19.861471787867103</v>
      </c>
      <c r="M313" s="302">
        <f>ZoneInondable2022!G870</f>
        <v>32.369030000000002</v>
      </c>
      <c r="N313" s="76"/>
      <c r="O313" s="76"/>
      <c r="P313" s="76"/>
      <c r="Q313" s="76">
        <f t="shared" si="41"/>
        <v>287.85640000000001</v>
      </c>
      <c r="R313" s="77">
        <f t="shared" si="39"/>
        <v>0.42057642085643182</v>
      </c>
      <c r="S313" s="324">
        <v>0.41700366222778806</v>
      </c>
      <c r="T313" s="78">
        <v>0</v>
      </c>
      <c r="U313" s="79">
        <v>0</v>
      </c>
      <c r="V313" s="80">
        <v>0</v>
      </c>
      <c r="W313" s="80">
        <v>233.277906484525</v>
      </c>
      <c r="X313" s="80">
        <v>19.861471787867103</v>
      </c>
      <c r="Y313" s="80">
        <v>32.271707663600004</v>
      </c>
      <c r="Z313" s="80"/>
      <c r="AA313" s="80"/>
      <c r="AB313" s="164">
        <f t="shared" si="42"/>
        <v>285.41108593599211</v>
      </c>
      <c r="AC313" s="216">
        <f t="shared" si="40"/>
        <v>0.41700366222778806</v>
      </c>
    </row>
    <row r="314" spans="1:29" s="28" customFormat="1" ht="20.25" customHeight="1" x14ac:dyDescent="0.25">
      <c r="A314" s="17">
        <v>314</v>
      </c>
      <c r="B314" s="18">
        <v>30314</v>
      </c>
      <c r="C314" s="19" t="s">
        <v>678</v>
      </c>
      <c r="D314" s="20" t="s">
        <v>755</v>
      </c>
      <c r="E314" s="21"/>
      <c r="F314" s="22">
        <f>2735533.07470703/10000</f>
        <v>273.55330747070298</v>
      </c>
      <c r="G314" s="23" t="s">
        <v>761</v>
      </c>
      <c r="H314" s="302">
        <f>ZoneInondable2022!G727</f>
        <v>21.932041000000002</v>
      </c>
      <c r="I314" s="24">
        <v>0</v>
      </c>
      <c r="J314" s="24">
        <f t="shared" si="45"/>
        <v>0</v>
      </c>
      <c r="K314" s="24">
        <f>W314/10000</f>
        <v>0</v>
      </c>
      <c r="L314" s="24">
        <f>X314/10000</f>
        <v>0</v>
      </c>
      <c r="M314" s="24">
        <f>Y314/10000</f>
        <v>0</v>
      </c>
      <c r="N314" s="24"/>
      <c r="O314" s="24"/>
      <c r="P314" s="24"/>
      <c r="Q314" s="24">
        <f t="shared" si="41"/>
        <v>21.932041000000002</v>
      </c>
      <c r="R314" s="85">
        <f t="shared" si="39"/>
        <v>8.0174651159532706E-2</v>
      </c>
      <c r="S314" s="324">
        <v>7.217840751501281E-2</v>
      </c>
      <c r="T314" s="25">
        <v>19.744642103699999</v>
      </c>
      <c r="U314" s="26">
        <v>0</v>
      </c>
      <c r="V314" s="27">
        <v>0</v>
      </c>
      <c r="W314" s="27">
        <v>0</v>
      </c>
      <c r="X314" s="27">
        <v>0</v>
      </c>
      <c r="Y314" s="27">
        <v>0</v>
      </c>
      <c r="Z314" s="27"/>
      <c r="AA314" s="27"/>
      <c r="AB314" s="160">
        <f t="shared" si="42"/>
        <v>19.744642103699999</v>
      </c>
      <c r="AC314" s="216">
        <f t="shared" si="40"/>
        <v>7.217840751501281E-2</v>
      </c>
    </row>
    <row r="315" spans="1:29" s="81" customFormat="1" ht="18.75" customHeight="1" x14ac:dyDescent="0.25">
      <c r="A315" s="70">
        <v>315</v>
      </c>
      <c r="B315" s="71">
        <v>30315</v>
      </c>
      <c r="C315" s="72" t="s">
        <v>192</v>
      </c>
      <c r="D315" s="84" t="s">
        <v>767</v>
      </c>
      <c r="E315" s="69"/>
      <c r="F315" s="74">
        <f>12504918.8208007/10000</f>
        <v>1250.4918820800699</v>
      </c>
      <c r="G315" s="75" t="s">
        <v>11</v>
      </c>
      <c r="H315" s="76">
        <v>0</v>
      </c>
      <c r="I315" s="76">
        <v>0</v>
      </c>
      <c r="J315" s="76">
        <v>0</v>
      </c>
      <c r="K315" s="302">
        <f>ZoneInondable2022!G609</f>
        <v>133.95044999999999</v>
      </c>
      <c r="L315" s="302">
        <f>ZoneInondable2022!G95</f>
        <v>68.15849</v>
      </c>
      <c r="M315" s="302">
        <f>ZoneInondable2022!G433</f>
        <v>104.15638</v>
      </c>
      <c r="N315" s="76"/>
      <c r="O315" s="76"/>
      <c r="P315" s="76"/>
      <c r="Q315" s="76">
        <f t="shared" si="41"/>
        <v>306.26531999999997</v>
      </c>
      <c r="R315" s="77">
        <f t="shared" si="39"/>
        <v>0.24491588021391855</v>
      </c>
      <c r="S315" s="324">
        <v>0.28425055067829708</v>
      </c>
      <c r="T315" s="78">
        <v>0</v>
      </c>
      <c r="U315" s="79">
        <v>0</v>
      </c>
      <c r="V315" s="80">
        <v>0</v>
      </c>
      <c r="W315" s="80">
        <v>148.2650754</v>
      </c>
      <c r="X315" s="80">
        <v>70.616982100000001</v>
      </c>
      <c r="Y315" s="80">
        <v>109.00567269999999</v>
      </c>
      <c r="Z315" s="80">
        <v>27.565275900000003</v>
      </c>
      <c r="AA315" s="80"/>
      <c r="AB315" s="164">
        <f t="shared" si="42"/>
        <v>355.45300609999998</v>
      </c>
      <c r="AC315" s="216">
        <f t="shared" si="40"/>
        <v>0.28425055067829708</v>
      </c>
    </row>
    <row r="316" spans="1:29" s="28" customFormat="1" ht="19.5" customHeight="1" x14ac:dyDescent="0.25">
      <c r="A316" s="17">
        <v>316</v>
      </c>
      <c r="B316" s="18">
        <v>30316</v>
      </c>
      <c r="C316" s="19" t="s">
        <v>542</v>
      </c>
      <c r="D316" s="20" t="s">
        <v>765</v>
      </c>
      <c r="E316" s="21"/>
      <c r="F316" s="22">
        <f>14994057.0947265/10000</f>
        <v>1499.40570947265</v>
      </c>
      <c r="G316" s="23" t="s">
        <v>761</v>
      </c>
      <c r="H316" s="302">
        <f>ZoneInondable2022!G452</f>
        <v>50.405729999999998</v>
      </c>
      <c r="I316" s="24">
        <v>0</v>
      </c>
      <c r="J316" s="24">
        <f>V316/10000</f>
        <v>0</v>
      </c>
      <c r="K316" s="24">
        <f>W316/10000</f>
        <v>0</v>
      </c>
      <c r="L316" s="24">
        <f>X316/10000</f>
        <v>0</v>
      </c>
      <c r="M316" s="24">
        <f>Y316/10000</f>
        <v>0</v>
      </c>
      <c r="N316" s="24"/>
      <c r="O316" s="24"/>
      <c r="P316" s="24"/>
      <c r="Q316" s="24">
        <f t="shared" si="41"/>
        <v>50.405729999999998</v>
      </c>
      <c r="R316" s="85">
        <f t="shared" si="39"/>
        <v>3.3617138898135848E-2</v>
      </c>
      <c r="S316" s="324">
        <v>4.6609431409447871E-2</v>
      </c>
      <c r="T316" s="25">
        <v>69.886447570599998</v>
      </c>
      <c r="U316" s="26">
        <v>0</v>
      </c>
      <c r="V316" s="27">
        <v>0</v>
      </c>
      <c r="W316" s="27">
        <v>0</v>
      </c>
      <c r="X316" s="27">
        <v>0</v>
      </c>
      <c r="Y316" s="27">
        <v>0</v>
      </c>
      <c r="Z316" s="27"/>
      <c r="AA316" s="27"/>
      <c r="AB316" s="160">
        <f t="shared" si="42"/>
        <v>69.886447570599998</v>
      </c>
      <c r="AC316" s="216">
        <f t="shared" si="40"/>
        <v>4.6609431409447871E-2</v>
      </c>
    </row>
    <row r="317" spans="1:29" s="81" customFormat="1" ht="21.75" customHeight="1" x14ac:dyDescent="0.25">
      <c r="A317" s="70">
        <v>317</v>
      </c>
      <c r="B317" s="71">
        <v>30317</v>
      </c>
      <c r="C317" s="72" t="s">
        <v>308</v>
      </c>
      <c r="D317" s="84" t="s">
        <v>754</v>
      </c>
      <c r="E317" s="69"/>
      <c r="F317" s="74">
        <f>9034024.015625/10000</f>
        <v>903.40240156250002</v>
      </c>
      <c r="G317" s="75" t="s">
        <v>11</v>
      </c>
      <c r="H317" s="76">
        <v>0</v>
      </c>
      <c r="I317" s="76">
        <v>0</v>
      </c>
      <c r="J317" s="76">
        <f t="shared" ref="J317:J353" si="47">V317/10000</f>
        <v>0</v>
      </c>
      <c r="K317" s="302">
        <f>ZoneInondable2022!G315</f>
        <v>216.54462000000001</v>
      </c>
      <c r="L317" s="302">
        <f>ZoneInondable2022!G545</f>
        <v>84.461105000000003</v>
      </c>
      <c r="M317" s="302">
        <f>ZoneInondable2022!G181</f>
        <v>38.972819999999999</v>
      </c>
      <c r="N317" s="76"/>
      <c r="O317" s="76"/>
      <c r="P317" s="76"/>
      <c r="Q317" s="76">
        <f t="shared" si="41"/>
        <v>339.978545</v>
      </c>
      <c r="R317" s="77">
        <f t="shared" si="39"/>
        <v>0.37633123889418763</v>
      </c>
      <c r="S317" s="324">
        <v>0.37254472505043024</v>
      </c>
      <c r="T317" s="78">
        <v>0</v>
      </c>
      <c r="U317" s="79">
        <v>0</v>
      </c>
      <c r="V317" s="80">
        <v>0</v>
      </c>
      <c r="W317" s="80">
        <v>213.70071129999999</v>
      </c>
      <c r="X317" s="80">
        <v>84.2510221</v>
      </c>
      <c r="Y317" s="80">
        <v>38.606065899999997</v>
      </c>
      <c r="Z317" s="80"/>
      <c r="AA317" s="80"/>
      <c r="AB317" s="164">
        <f t="shared" si="42"/>
        <v>336.55779929999994</v>
      </c>
      <c r="AC317" s="216">
        <f t="shared" si="40"/>
        <v>0.37254472505043024</v>
      </c>
    </row>
    <row r="318" spans="1:29" s="81" customFormat="1" ht="18.75" customHeight="1" x14ac:dyDescent="0.25">
      <c r="A318" s="70">
        <v>318</v>
      </c>
      <c r="B318" s="71">
        <v>30318</v>
      </c>
      <c r="C318" s="72" t="s">
        <v>254</v>
      </c>
      <c r="D318" s="84" t="s">
        <v>765</v>
      </c>
      <c r="E318" s="69"/>
      <c r="F318" s="74">
        <f>10820403.4663085/10000</f>
        <v>1082.0403466308501</v>
      </c>
      <c r="G318" s="75" t="s">
        <v>11</v>
      </c>
      <c r="H318" s="76">
        <v>0</v>
      </c>
      <c r="I318" s="76">
        <v>0</v>
      </c>
      <c r="J318" s="76">
        <f t="shared" si="47"/>
        <v>0</v>
      </c>
      <c r="K318" s="302">
        <f>ZoneInondable2022!G799</f>
        <v>44.673996000000002</v>
      </c>
      <c r="L318" s="302">
        <f>ZoneInondable2022!G423</f>
        <v>4.0939918000000004</v>
      </c>
      <c r="M318" s="302">
        <f>ZoneInondable2022!G136</f>
        <v>58.589984999999999</v>
      </c>
      <c r="N318" s="76"/>
      <c r="O318" s="76"/>
      <c r="P318" s="76"/>
      <c r="Q318" s="76">
        <f t="shared" si="41"/>
        <v>107.3579728</v>
      </c>
      <c r="R318" s="77">
        <f t="shared" si="39"/>
        <v>9.9218086584553528E-2</v>
      </c>
      <c r="S318" s="324">
        <v>9.5463372076749126E-2</v>
      </c>
      <c r="T318" s="78">
        <v>0</v>
      </c>
      <c r="U318" s="79">
        <v>0</v>
      </c>
      <c r="V318" s="80">
        <v>0</v>
      </c>
      <c r="W318" s="80">
        <v>42.748772103396497</v>
      </c>
      <c r="X318" s="80">
        <v>4.1074040091789401</v>
      </c>
      <c r="Y318" s="80">
        <v>56.439044099899995</v>
      </c>
      <c r="Z318" s="80"/>
      <c r="AA318" s="80"/>
      <c r="AB318" s="164">
        <f t="shared" si="42"/>
        <v>103.29522021247544</v>
      </c>
      <c r="AC318" s="216">
        <f t="shared" si="40"/>
        <v>9.5463372076749126E-2</v>
      </c>
    </row>
    <row r="319" spans="1:29" s="102" customFormat="1" ht="26.25" x14ac:dyDescent="0.25">
      <c r="A319" s="91">
        <v>319</v>
      </c>
      <c r="B319" s="92">
        <v>30319</v>
      </c>
      <c r="C319" s="93" t="s">
        <v>402</v>
      </c>
      <c r="D319" s="94" t="s">
        <v>754</v>
      </c>
      <c r="E319" s="205"/>
      <c r="F319" s="96">
        <f>12528907.1835937/10000</f>
        <v>1252.8907183593699</v>
      </c>
      <c r="G319" s="97" t="s">
        <v>837</v>
      </c>
      <c r="H319" s="98">
        <v>0</v>
      </c>
      <c r="I319" s="98">
        <v>0</v>
      </c>
      <c r="J319" s="302">
        <f>ZoneInondable2022!G577</f>
        <v>44.712074000000001</v>
      </c>
      <c r="K319" s="302">
        <f>ZoneInondable2022!G409</f>
        <v>9.1486990000000006</v>
      </c>
      <c r="L319" s="302">
        <f>ZoneInondable2022!G254</f>
        <v>9.1779770000000003</v>
      </c>
      <c r="M319" s="302">
        <f>ZoneInondable2022!G282</f>
        <v>49.306640000000002</v>
      </c>
      <c r="N319" s="98"/>
      <c r="O319" s="98"/>
      <c r="P319" s="98"/>
      <c r="Q319" s="98">
        <f t="shared" si="41"/>
        <v>112.34539000000001</v>
      </c>
      <c r="R319" s="204">
        <f t="shared" si="39"/>
        <v>8.966894586553692E-2</v>
      </c>
      <c r="S319" s="324">
        <v>8.4112196170626125E-2</v>
      </c>
      <c r="T319" s="99">
        <v>105.38338988300001</v>
      </c>
      <c r="U319" s="100">
        <v>0</v>
      </c>
      <c r="V319" s="101">
        <v>0</v>
      </c>
      <c r="W319" s="101">
        <v>0</v>
      </c>
      <c r="X319" s="101">
        <v>0</v>
      </c>
      <c r="Y319" s="101">
        <v>0</v>
      </c>
      <c r="Z319" s="101"/>
      <c r="AA319" s="101"/>
      <c r="AB319" s="161">
        <f t="shared" si="42"/>
        <v>105.38338988300001</v>
      </c>
      <c r="AC319" s="216">
        <f t="shared" si="40"/>
        <v>8.4112196170626125E-2</v>
      </c>
    </row>
    <row r="320" spans="1:29" s="81" customFormat="1" ht="17.25" customHeight="1" x14ac:dyDescent="0.25">
      <c r="A320" s="70">
        <v>320</v>
      </c>
      <c r="B320" s="71">
        <v>30320</v>
      </c>
      <c r="C320" s="72" t="s">
        <v>461</v>
      </c>
      <c r="D320" s="84" t="s">
        <v>765</v>
      </c>
      <c r="E320" s="89" t="s">
        <v>783</v>
      </c>
      <c r="F320" s="74">
        <f>14270743.0566406/10000</f>
        <v>1427.0743056640601</v>
      </c>
      <c r="G320" s="75" t="s">
        <v>11</v>
      </c>
      <c r="H320" s="76">
        <v>0</v>
      </c>
      <c r="I320" s="76">
        <v>0</v>
      </c>
      <c r="J320" s="76">
        <f t="shared" si="47"/>
        <v>0</v>
      </c>
      <c r="K320" s="302">
        <f>ZoneInondable2022!G345</f>
        <v>28.765936</v>
      </c>
      <c r="L320" s="302">
        <f>ZoneInondable2022!G321</f>
        <v>0.84952384000000003</v>
      </c>
      <c r="M320" s="302">
        <f>ZoneInondable2022!G429</f>
        <v>32.158239999999999</v>
      </c>
      <c r="N320" s="76"/>
      <c r="O320" s="76"/>
      <c r="P320" s="76"/>
      <c r="Q320" s="76">
        <f t="shared" si="41"/>
        <v>61.773699839999999</v>
      </c>
      <c r="R320" s="77">
        <f t="shared" si="39"/>
        <v>4.3286954011308373E-2</v>
      </c>
      <c r="S320" s="324">
        <v>4.3259077267222758E-2</v>
      </c>
      <c r="T320" s="78">
        <v>0</v>
      </c>
      <c r="U320" s="79">
        <v>0</v>
      </c>
      <c r="V320" s="80">
        <v>0</v>
      </c>
      <c r="W320" s="80">
        <v>28.793335917596401</v>
      </c>
      <c r="X320" s="80">
        <v>0.84856524499344199</v>
      </c>
      <c r="Y320" s="80">
        <v>32.092016492200003</v>
      </c>
      <c r="Z320" s="80"/>
      <c r="AA320" s="80"/>
      <c r="AB320" s="164">
        <f t="shared" si="42"/>
        <v>61.733917654789849</v>
      </c>
      <c r="AC320" s="216">
        <f t="shared" si="40"/>
        <v>4.3259077267222758E-2</v>
      </c>
    </row>
    <row r="321" spans="1:29" s="81" customFormat="1" ht="18.75" customHeight="1" x14ac:dyDescent="0.25">
      <c r="A321" s="70">
        <v>321</v>
      </c>
      <c r="B321" s="71">
        <v>30321</v>
      </c>
      <c r="C321" s="72" t="s">
        <v>250</v>
      </c>
      <c r="D321" s="84" t="s">
        <v>755</v>
      </c>
      <c r="E321" s="69"/>
      <c r="F321" s="74">
        <f>10369177.8535156/10000</f>
        <v>1036.91778535156</v>
      </c>
      <c r="G321" s="75" t="s">
        <v>11</v>
      </c>
      <c r="H321" s="76">
        <v>0</v>
      </c>
      <c r="I321" s="76">
        <v>0</v>
      </c>
      <c r="J321" s="76">
        <f t="shared" si="47"/>
        <v>0</v>
      </c>
      <c r="K321" s="302">
        <f>ZoneInondable2022!G325</f>
        <v>338.26029999999997</v>
      </c>
      <c r="L321" s="302">
        <f>ZoneInondable2022!G131</f>
        <v>7.4576729999999998</v>
      </c>
      <c r="M321" s="302">
        <f>ZoneInondable2022!G534</f>
        <v>49.758339999999997</v>
      </c>
      <c r="N321" s="76"/>
      <c r="O321" s="76"/>
      <c r="P321" s="76"/>
      <c r="Q321" s="76">
        <f t="shared" si="41"/>
        <v>395.47631299999995</v>
      </c>
      <c r="R321" s="77">
        <f t="shared" si="39"/>
        <v>0.38139601672076284</v>
      </c>
      <c r="S321" s="324">
        <v>0.38432648455170065</v>
      </c>
      <c r="T321" s="78">
        <v>0</v>
      </c>
      <c r="U321" s="79">
        <v>0</v>
      </c>
      <c r="V321" s="80">
        <v>0</v>
      </c>
      <c r="W321" s="80">
        <v>341.57931728900002</v>
      </c>
      <c r="X321" s="80">
        <v>7.3736548181999995</v>
      </c>
      <c r="Y321" s="80">
        <v>49.561995106099999</v>
      </c>
      <c r="Z321" s="80"/>
      <c r="AA321" s="80"/>
      <c r="AB321" s="164">
        <f t="shared" si="42"/>
        <v>398.5149672133</v>
      </c>
      <c r="AC321" s="216">
        <f t="shared" si="40"/>
        <v>0.38432648455170065</v>
      </c>
    </row>
    <row r="322" spans="1:29" s="28" customFormat="1" ht="17.25" customHeight="1" x14ac:dyDescent="0.25">
      <c r="A322" s="17">
        <v>322</v>
      </c>
      <c r="B322" s="18">
        <v>30322</v>
      </c>
      <c r="C322" s="19" t="s">
        <v>366</v>
      </c>
      <c r="D322" s="20" t="s">
        <v>754</v>
      </c>
      <c r="E322" s="21"/>
      <c r="F322" s="22">
        <f>25847711.3725585/10000</f>
        <v>2584.7711372558501</v>
      </c>
      <c r="G322" s="23" t="s">
        <v>761</v>
      </c>
      <c r="H322" s="302">
        <f>ZoneInondable2022!G222</f>
        <v>31.901363</v>
      </c>
      <c r="I322" s="24">
        <v>0</v>
      </c>
      <c r="J322" s="24">
        <f t="shared" si="47"/>
        <v>0</v>
      </c>
      <c r="K322" s="24">
        <v>0</v>
      </c>
      <c r="L322" s="24">
        <v>0</v>
      </c>
      <c r="M322" s="24">
        <v>0</v>
      </c>
      <c r="N322" s="24"/>
      <c r="O322" s="24"/>
      <c r="P322" s="24"/>
      <c r="Q322" s="24">
        <f t="shared" si="41"/>
        <v>31.901363</v>
      </c>
      <c r="R322" s="85">
        <f t="shared" si="39"/>
        <v>1.2342045506538897E-2</v>
      </c>
      <c r="S322" s="324">
        <v>1.2361559176539697E-2</v>
      </c>
      <c r="T322" s="25">
        <v>31.951801371000002</v>
      </c>
      <c r="U322" s="26">
        <v>0</v>
      </c>
      <c r="V322" s="27">
        <v>0</v>
      </c>
      <c r="W322" s="27">
        <v>0</v>
      </c>
      <c r="X322" s="27">
        <v>0</v>
      </c>
      <c r="Y322" s="27">
        <v>0</v>
      </c>
      <c r="Z322" s="27"/>
      <c r="AA322" s="27"/>
      <c r="AB322" s="160">
        <f t="shared" si="42"/>
        <v>31.951801371000002</v>
      </c>
      <c r="AC322" s="216">
        <f t="shared" si="40"/>
        <v>1.2361559176539697E-2</v>
      </c>
    </row>
    <row r="323" spans="1:29" s="81" customFormat="1" ht="23.25" customHeight="1" x14ac:dyDescent="0.25">
      <c r="A323" s="70">
        <v>323</v>
      </c>
      <c r="B323" s="71">
        <v>30323</v>
      </c>
      <c r="C323" s="72" t="s">
        <v>48</v>
      </c>
      <c r="D323" s="84" t="s">
        <v>754</v>
      </c>
      <c r="E323" s="69"/>
      <c r="F323" s="74">
        <f>11203654.9667968/10000</f>
        <v>1120.3654966796801</v>
      </c>
      <c r="G323" s="75" t="s">
        <v>11</v>
      </c>
      <c r="H323" s="76">
        <v>0</v>
      </c>
      <c r="I323" s="76">
        <v>0</v>
      </c>
      <c r="J323" s="76">
        <f t="shared" si="47"/>
        <v>0</v>
      </c>
      <c r="K323" s="302">
        <f>ZoneInondable2022!G15</f>
        <v>14.191051</v>
      </c>
      <c r="L323" s="302">
        <f>ZoneInondable2022!G53</f>
        <v>1.5503237000000001</v>
      </c>
      <c r="M323" s="302">
        <f>ZoneInondable2022!G229</f>
        <v>40.790230000000001</v>
      </c>
      <c r="N323" s="76"/>
      <c r="O323" s="76"/>
      <c r="P323" s="76"/>
      <c r="Q323" s="76">
        <f t="shared" si="41"/>
        <v>56.531604700000003</v>
      </c>
      <c r="R323" s="77">
        <f t="shared" ref="R323:R354" si="48">Q323/F323</f>
        <v>5.045818071650484E-2</v>
      </c>
      <c r="S323" s="324">
        <v>5.2328583268249351E-2</v>
      </c>
      <c r="T323" s="78">
        <v>0</v>
      </c>
      <c r="U323" s="79">
        <v>0</v>
      </c>
      <c r="V323" s="80">
        <v>0</v>
      </c>
      <c r="W323" s="80">
        <v>14.000452170949302</v>
      </c>
      <c r="X323" s="80">
        <v>1.5831241702268801</v>
      </c>
      <c r="Y323" s="80">
        <v>43.043562842699998</v>
      </c>
      <c r="Z323" s="80"/>
      <c r="AA323" s="80"/>
      <c r="AB323" s="164">
        <f t="shared" si="42"/>
        <v>58.627139183876182</v>
      </c>
      <c r="AC323" s="216">
        <f t="shared" ref="AC323:AC353" si="49">AB323/F323</f>
        <v>5.2328583268249351E-2</v>
      </c>
    </row>
    <row r="324" spans="1:29" s="81" customFormat="1" ht="19.5" customHeight="1" x14ac:dyDescent="0.25">
      <c r="A324" s="70">
        <v>324</v>
      </c>
      <c r="B324" s="71">
        <v>30324</v>
      </c>
      <c r="C324" s="72" t="s">
        <v>604</v>
      </c>
      <c r="D324" s="84" t="s">
        <v>755</v>
      </c>
      <c r="E324" s="69"/>
      <c r="F324" s="74">
        <f>11312580.6396484/10000</f>
        <v>1131.2580639648399</v>
      </c>
      <c r="G324" s="75" t="s">
        <v>11</v>
      </c>
      <c r="H324" s="76">
        <v>0</v>
      </c>
      <c r="I324" s="76">
        <v>0</v>
      </c>
      <c r="J324" s="76">
        <f t="shared" si="47"/>
        <v>0</v>
      </c>
      <c r="K324" s="302">
        <f>ZoneInondable2022!G602</f>
        <v>47.853029999999997</v>
      </c>
      <c r="L324" s="302">
        <v>0</v>
      </c>
      <c r="M324" s="302">
        <f>ZoneInondable2022!G760</f>
        <v>36.664504999999998</v>
      </c>
      <c r="N324" s="76"/>
      <c r="O324" s="76"/>
      <c r="P324" s="76"/>
      <c r="Q324" s="76">
        <f t="shared" ref="Q324:Q353" si="50">SUM(H324:P324)</f>
        <v>84.517534999999995</v>
      </c>
      <c r="R324" s="77">
        <f t="shared" si="48"/>
        <v>7.4711100581049072E-2</v>
      </c>
      <c r="S324" s="324">
        <v>8.2163224419035452E-2</v>
      </c>
      <c r="T324" s="78">
        <v>0</v>
      </c>
      <c r="U324" s="79">
        <v>0</v>
      </c>
      <c r="V324" s="80">
        <v>0</v>
      </c>
      <c r="W324" s="80">
        <v>54.061906846242003</v>
      </c>
      <c r="X324" s="80">
        <v>1.68973993015</v>
      </c>
      <c r="Y324" s="80">
        <v>37.1961634089947</v>
      </c>
      <c r="Z324" s="80"/>
      <c r="AA324" s="80"/>
      <c r="AB324" s="164">
        <f t="shared" ref="AB324:AB353" si="51">SUM(T324+U324+V324+W324+X324+Y324+Z324+AA324)</f>
        <v>92.9478101853867</v>
      </c>
      <c r="AC324" s="216">
        <f t="shared" si="49"/>
        <v>8.2163224419035452E-2</v>
      </c>
    </row>
    <row r="325" spans="1:29" s="28" customFormat="1" ht="22.5" customHeight="1" x14ac:dyDescent="0.25">
      <c r="A325" s="17">
        <v>325</v>
      </c>
      <c r="B325" s="18">
        <v>30325</v>
      </c>
      <c r="C325" s="19" t="s">
        <v>410</v>
      </c>
      <c r="D325" s="20" t="s">
        <v>766</v>
      </c>
      <c r="E325" s="21" t="s">
        <v>819</v>
      </c>
      <c r="F325" s="22">
        <f>36765158.0888671/10000</f>
        <v>3676.5158088867097</v>
      </c>
      <c r="G325" s="23" t="s">
        <v>761</v>
      </c>
      <c r="H325" s="302">
        <f>ZoneInondable2022!G260+ZoneInondable2022!G539</f>
        <v>167.23617470000002</v>
      </c>
      <c r="I325" s="24">
        <v>0</v>
      </c>
      <c r="J325" s="24">
        <f t="shared" si="47"/>
        <v>0</v>
      </c>
      <c r="K325" s="24">
        <v>0</v>
      </c>
      <c r="L325" s="24">
        <v>0</v>
      </c>
      <c r="M325" s="24">
        <v>0</v>
      </c>
      <c r="N325" s="24"/>
      <c r="O325" s="24"/>
      <c r="P325" s="24"/>
      <c r="Q325" s="24">
        <f t="shared" si="50"/>
        <v>167.23617470000002</v>
      </c>
      <c r="R325" s="85">
        <f t="shared" si="48"/>
        <v>4.5487680019154063E-2</v>
      </c>
      <c r="S325" s="324">
        <v>4.5080812243197738E-2</v>
      </c>
      <c r="T325" s="25">
        <v>165.74031888957001</v>
      </c>
      <c r="U325" s="26">
        <v>0</v>
      </c>
      <c r="V325" s="27">
        <v>0</v>
      </c>
      <c r="W325" s="27">
        <v>0</v>
      </c>
      <c r="X325" s="27">
        <v>0</v>
      </c>
      <c r="Y325" s="27">
        <v>0</v>
      </c>
      <c r="Z325" s="27"/>
      <c r="AA325" s="27"/>
      <c r="AB325" s="160">
        <f t="shared" si="51"/>
        <v>165.74031888957001</v>
      </c>
      <c r="AC325" s="216">
        <f t="shared" si="49"/>
        <v>4.5080812243197738E-2</v>
      </c>
    </row>
    <row r="326" spans="1:29" s="28" customFormat="1" ht="21" customHeight="1" x14ac:dyDescent="0.25">
      <c r="A326" s="17">
        <v>326</v>
      </c>
      <c r="B326" s="18">
        <v>30326</v>
      </c>
      <c r="C326" s="19" t="s">
        <v>650</v>
      </c>
      <c r="D326" s="20" t="s">
        <v>773</v>
      </c>
      <c r="E326" s="21"/>
      <c r="F326" s="22">
        <f>20034045.5288085/10000</f>
        <v>2003.4045528808501</v>
      </c>
      <c r="G326" s="23" t="s">
        <v>761</v>
      </c>
      <c r="H326" s="302">
        <f>ZoneInondable2022!G668</f>
        <v>270.06635</v>
      </c>
      <c r="I326" s="302">
        <f>ZoneInondable2022!G794</f>
        <v>206.21751</v>
      </c>
      <c r="J326" s="24">
        <f t="shared" si="47"/>
        <v>0</v>
      </c>
      <c r="K326" s="24">
        <v>0</v>
      </c>
      <c r="L326" s="24">
        <v>0</v>
      </c>
      <c r="M326" s="24">
        <v>0</v>
      </c>
      <c r="N326" s="24"/>
      <c r="O326" s="24"/>
      <c r="P326" s="24"/>
      <c r="Q326" s="24">
        <f t="shared" si="50"/>
        <v>476.28386</v>
      </c>
      <c r="R326" s="85">
        <f t="shared" si="48"/>
        <v>0.23773723550498807</v>
      </c>
      <c r="S326" s="324">
        <v>0.23794945297668574</v>
      </c>
      <c r="T326" s="25">
        <v>271.17554565199998</v>
      </c>
      <c r="U326" s="26">
        <v>205.533471797</v>
      </c>
      <c r="V326" s="27">
        <v>0</v>
      </c>
      <c r="W326" s="27">
        <v>0</v>
      </c>
      <c r="X326" s="27">
        <v>0</v>
      </c>
      <c r="Y326" s="27">
        <v>0</v>
      </c>
      <c r="Z326" s="27"/>
      <c r="AA326" s="27"/>
      <c r="AB326" s="160">
        <f t="shared" si="51"/>
        <v>476.70901744899999</v>
      </c>
      <c r="AC326" s="216">
        <f t="shared" si="49"/>
        <v>0.23794945297668574</v>
      </c>
    </row>
    <row r="327" spans="1:29" s="81" customFormat="1" ht="21.75" customHeight="1" x14ac:dyDescent="0.25">
      <c r="A327" s="70">
        <v>327</v>
      </c>
      <c r="B327" s="71">
        <v>30327</v>
      </c>
      <c r="C327" s="72" t="s">
        <v>340</v>
      </c>
      <c r="D327" s="84" t="s">
        <v>765</v>
      </c>
      <c r="E327" s="69"/>
      <c r="F327" s="74">
        <f>9572040.22558593/10000</f>
        <v>957.20402255859301</v>
      </c>
      <c r="G327" s="75" t="s">
        <v>11</v>
      </c>
      <c r="H327" s="76">
        <v>0</v>
      </c>
      <c r="I327" s="76">
        <v>0</v>
      </c>
      <c r="J327" s="76">
        <f t="shared" si="47"/>
        <v>0</v>
      </c>
      <c r="K327" s="302">
        <f>ZoneInondable2022!G615</f>
        <v>86.668790000000001</v>
      </c>
      <c r="L327" s="302">
        <f>ZoneInondable2022!G833</f>
        <v>1.723157</v>
      </c>
      <c r="M327" s="302">
        <f>ZoneInondable2022!G206</f>
        <v>1.8462171999999999</v>
      </c>
      <c r="N327" s="76"/>
      <c r="O327" s="76"/>
      <c r="P327" s="76"/>
      <c r="Q327" s="76">
        <f t="shared" si="50"/>
        <v>90.2381642</v>
      </c>
      <c r="R327" s="77">
        <f t="shared" si="48"/>
        <v>9.4272654599585406E-2</v>
      </c>
      <c r="S327" s="324">
        <v>9.215082160434955E-2</v>
      </c>
      <c r="T327" s="78">
        <v>0</v>
      </c>
      <c r="U327" s="79">
        <v>0</v>
      </c>
      <c r="V327" s="80">
        <v>0</v>
      </c>
      <c r="W327" s="80">
        <v>84.646638518399996</v>
      </c>
      <c r="X327" s="80">
        <v>1.7132007029426899</v>
      </c>
      <c r="Y327" s="80">
        <v>1.8472979004199999</v>
      </c>
      <c r="Z327" s="80"/>
      <c r="AA327" s="80"/>
      <c r="AB327" s="164">
        <f t="shared" si="51"/>
        <v>88.207137121762685</v>
      </c>
      <c r="AC327" s="216">
        <f t="shared" si="49"/>
        <v>9.215082160434955E-2</v>
      </c>
    </row>
    <row r="328" spans="1:29" s="81" customFormat="1" ht="19.5" customHeight="1" x14ac:dyDescent="0.25">
      <c r="A328" s="70">
        <v>328</v>
      </c>
      <c r="B328" s="71">
        <v>30328</v>
      </c>
      <c r="C328" s="72" t="s">
        <v>21</v>
      </c>
      <c r="D328" s="84" t="s">
        <v>754</v>
      </c>
      <c r="E328" s="89" t="s">
        <v>768</v>
      </c>
      <c r="F328" s="74">
        <f>11320571.9873046/10000</f>
        <v>1132.05719873046</v>
      </c>
      <c r="G328" s="75" t="s">
        <v>11</v>
      </c>
      <c r="H328" s="76">
        <v>0</v>
      </c>
      <c r="I328" s="76">
        <v>0</v>
      </c>
      <c r="J328" s="76">
        <f t="shared" si="47"/>
        <v>0</v>
      </c>
      <c r="K328" s="302">
        <f>ZoneInondable2022!G5</f>
        <v>322.20184</v>
      </c>
      <c r="L328" s="302">
        <f>ZoneInondable2022!G17</f>
        <v>32.186497000000003</v>
      </c>
      <c r="M328" s="302">
        <f>ZoneInondable2022!G524</f>
        <v>57.548175999999998</v>
      </c>
      <c r="N328" s="76"/>
      <c r="O328" s="76"/>
      <c r="P328" s="76"/>
      <c r="Q328" s="76">
        <f t="shared" si="50"/>
        <v>411.93651299999999</v>
      </c>
      <c r="R328" s="77">
        <f t="shared" si="48"/>
        <v>0.36388312663173222</v>
      </c>
      <c r="S328" s="324">
        <v>0.36566030264567939</v>
      </c>
      <c r="T328" s="78">
        <v>0</v>
      </c>
      <c r="U328" s="79">
        <v>0</v>
      </c>
      <c r="V328" s="80">
        <v>0</v>
      </c>
      <c r="W328" s="80">
        <v>323.91383000000002</v>
      </c>
      <c r="X328" s="80">
        <v>32.114080600000001</v>
      </c>
      <c r="Y328" s="80">
        <v>57.920467299999999</v>
      </c>
      <c r="Z328" s="80"/>
      <c r="AA328" s="80"/>
      <c r="AB328" s="164">
        <f t="shared" si="51"/>
        <v>413.94837790000003</v>
      </c>
      <c r="AC328" s="216">
        <f t="shared" si="49"/>
        <v>0.36566030264567939</v>
      </c>
    </row>
    <row r="329" spans="1:29" s="133" customFormat="1" ht="27.75" customHeight="1" x14ac:dyDescent="0.25">
      <c r="A329" s="207">
        <v>329</v>
      </c>
      <c r="B329" s="18">
        <v>30329</v>
      </c>
      <c r="C329" s="19" t="s">
        <v>616</v>
      </c>
      <c r="D329" s="20" t="s">
        <v>754</v>
      </c>
      <c r="E329" s="21"/>
      <c r="F329" s="22">
        <f>23120331.4365234/10000</f>
        <v>2312.0331436523402</v>
      </c>
      <c r="G329" s="23" t="s">
        <v>761</v>
      </c>
      <c r="H329" s="302">
        <f>ZoneInondable2022!G620</f>
        <v>183.95357999999999</v>
      </c>
      <c r="I329" s="24">
        <v>0</v>
      </c>
      <c r="J329" s="24">
        <f t="shared" si="47"/>
        <v>0</v>
      </c>
      <c r="K329" s="24">
        <f t="shared" ref="K329:M330" si="52">W329/10000</f>
        <v>0</v>
      </c>
      <c r="L329" s="24">
        <f t="shared" si="52"/>
        <v>0</v>
      </c>
      <c r="M329" s="24">
        <f t="shared" si="52"/>
        <v>0</v>
      </c>
      <c r="N329" s="24"/>
      <c r="O329" s="24"/>
      <c r="P329" s="24"/>
      <c r="Q329" s="24">
        <f t="shared" si="50"/>
        <v>183.95357999999999</v>
      </c>
      <c r="R329" s="85">
        <f t="shared" si="48"/>
        <v>7.9563556649281775E-2</v>
      </c>
      <c r="S329" s="324">
        <v>8.1332088167623565E-2</v>
      </c>
      <c r="T329" s="208">
        <v>188.04248348600001</v>
      </c>
      <c r="U329" s="209">
        <v>0</v>
      </c>
      <c r="V329" s="160">
        <v>0</v>
      </c>
      <c r="W329" s="160">
        <v>0</v>
      </c>
      <c r="X329" s="160">
        <v>0</v>
      </c>
      <c r="Y329" s="160">
        <v>0</v>
      </c>
      <c r="Z329" s="160"/>
      <c r="AA329" s="160"/>
      <c r="AB329" s="160">
        <f t="shared" si="51"/>
        <v>188.04248348600001</v>
      </c>
      <c r="AC329" s="216">
        <f t="shared" si="49"/>
        <v>8.1332088167623565E-2</v>
      </c>
    </row>
    <row r="330" spans="1:29" s="28" customFormat="1" ht="21.75" customHeight="1" x14ac:dyDescent="0.25">
      <c r="A330" s="17">
        <v>330</v>
      </c>
      <c r="B330" s="18">
        <v>30330</v>
      </c>
      <c r="C330" s="19" t="s">
        <v>582</v>
      </c>
      <c r="D330" s="20" t="s">
        <v>754</v>
      </c>
      <c r="E330" s="21" t="s">
        <v>791</v>
      </c>
      <c r="F330" s="22">
        <f>19649493.8808593/10000</f>
        <v>1964.94938808593</v>
      </c>
      <c r="G330" s="23" t="s">
        <v>761</v>
      </c>
      <c r="H330" s="302">
        <f>ZoneInondable2022!G643+ZoneInondable2022!G550</f>
        <v>90.529423700000009</v>
      </c>
      <c r="I330" s="24">
        <v>0</v>
      </c>
      <c r="J330" s="24">
        <f t="shared" si="47"/>
        <v>0</v>
      </c>
      <c r="K330" s="24">
        <f t="shared" si="52"/>
        <v>0</v>
      </c>
      <c r="L330" s="24">
        <f t="shared" si="52"/>
        <v>0</v>
      </c>
      <c r="M330" s="24">
        <f t="shared" si="52"/>
        <v>0</v>
      </c>
      <c r="N330" s="24"/>
      <c r="O330" s="24"/>
      <c r="P330" s="24"/>
      <c r="Q330" s="24">
        <f t="shared" si="50"/>
        <v>90.529423700000009</v>
      </c>
      <c r="R330" s="85">
        <f t="shared" si="48"/>
        <v>4.6072140203155719E-2</v>
      </c>
      <c r="S330" s="324">
        <v>4.6181572257214608E-2</v>
      </c>
      <c r="T330" s="25">
        <v>90.744452147659999</v>
      </c>
      <c r="U330" s="26">
        <v>0</v>
      </c>
      <c r="V330" s="27">
        <v>0</v>
      </c>
      <c r="W330" s="27">
        <v>0</v>
      </c>
      <c r="X330" s="27">
        <v>0</v>
      </c>
      <c r="Y330" s="27">
        <v>0</v>
      </c>
      <c r="Z330" s="27"/>
      <c r="AA330" s="27"/>
      <c r="AB330" s="160">
        <f t="shared" si="51"/>
        <v>90.744452147659999</v>
      </c>
      <c r="AC330" s="216">
        <f t="shared" si="49"/>
        <v>4.6181572257214608E-2</v>
      </c>
    </row>
    <row r="331" spans="1:29" s="81" customFormat="1" ht="20.25" customHeight="1" x14ac:dyDescent="0.25">
      <c r="A331" s="70">
        <v>331</v>
      </c>
      <c r="B331" s="71">
        <v>30331</v>
      </c>
      <c r="C331" s="72" t="s">
        <v>62</v>
      </c>
      <c r="D331" s="84" t="s">
        <v>765</v>
      </c>
      <c r="E331" s="69"/>
      <c r="F331" s="74">
        <f>17779332.7846679/10000</f>
        <v>1777.9332784667902</v>
      </c>
      <c r="G331" s="75" t="s">
        <v>11</v>
      </c>
      <c r="H331" s="76">
        <v>0</v>
      </c>
      <c r="I331" s="76">
        <v>0</v>
      </c>
      <c r="J331" s="76">
        <f t="shared" si="47"/>
        <v>0</v>
      </c>
      <c r="K331" s="302">
        <f>ZoneInondable2022!G24</f>
        <v>211.43826000000001</v>
      </c>
      <c r="L331" s="302">
        <f>ZoneInondable2022!G402</f>
        <v>88.35866</v>
      </c>
      <c r="M331" s="302">
        <f>ZoneInondable2022!G444</f>
        <v>33.321593999999997</v>
      </c>
      <c r="N331" s="76"/>
      <c r="O331" s="76"/>
      <c r="P331" s="76"/>
      <c r="Q331" s="76">
        <f t="shared" si="50"/>
        <v>333.118514</v>
      </c>
      <c r="R331" s="88">
        <f t="shared" si="48"/>
        <v>0.1873627756646</v>
      </c>
      <c r="S331" s="324">
        <v>0.12804285370919913</v>
      </c>
      <c r="T331" s="78">
        <v>224.73754689849</v>
      </c>
      <c r="U331" s="79">
        <v>0</v>
      </c>
      <c r="V331" s="80">
        <v>0</v>
      </c>
      <c r="W331" s="80">
        <v>1.46062612911</v>
      </c>
      <c r="X331" s="80">
        <v>1.4534776518400001</v>
      </c>
      <c r="Y331" s="80">
        <v>0</v>
      </c>
      <c r="Z331" s="80"/>
      <c r="AA331" s="80"/>
      <c r="AB331" s="164">
        <f t="shared" si="51"/>
        <v>227.65165067944</v>
      </c>
      <c r="AC331" s="216">
        <f t="shared" si="49"/>
        <v>0.12804285370919913</v>
      </c>
    </row>
    <row r="332" spans="1:29" s="28" customFormat="1" ht="21" customHeight="1" x14ac:dyDescent="0.25">
      <c r="A332" s="17">
        <v>332</v>
      </c>
      <c r="B332" s="18">
        <v>30332</v>
      </c>
      <c r="C332" s="19" t="s">
        <v>160</v>
      </c>
      <c r="D332" s="20" t="s">
        <v>785</v>
      </c>
      <c r="E332" s="21"/>
      <c r="F332" s="22">
        <f>27174846.0551757/10000</f>
        <v>2717.4846055175699</v>
      </c>
      <c r="G332" s="23" t="s">
        <v>761</v>
      </c>
      <c r="H332" s="302">
        <f>ZoneInondable2022!G77</f>
        <v>49.199570000000001</v>
      </c>
      <c r="I332" s="302">
        <f>ZoneInondable2022!G375</f>
        <v>0.97476183999999999</v>
      </c>
      <c r="J332" s="24">
        <f t="shared" si="47"/>
        <v>0</v>
      </c>
      <c r="K332" s="24">
        <v>0</v>
      </c>
      <c r="L332" s="24">
        <v>0</v>
      </c>
      <c r="M332" s="24">
        <v>0</v>
      </c>
      <c r="N332" s="24"/>
      <c r="O332" s="24"/>
      <c r="P332" s="24"/>
      <c r="Q332" s="24">
        <f t="shared" si="50"/>
        <v>50.174331840000001</v>
      </c>
      <c r="R332" s="85">
        <f t="shared" si="48"/>
        <v>1.8463520175284982E-2</v>
      </c>
      <c r="S332" s="324">
        <v>2.3307996020805601E-2</v>
      </c>
      <c r="T332" s="25">
        <v>62.362986176999996</v>
      </c>
      <c r="U332" s="26">
        <v>0.976134195004</v>
      </c>
      <c r="V332" s="27">
        <v>0</v>
      </c>
      <c r="W332" s="27">
        <v>0</v>
      </c>
      <c r="X332" s="27">
        <v>0</v>
      </c>
      <c r="Y332" s="27">
        <v>0</v>
      </c>
      <c r="Z332" s="27"/>
      <c r="AA332" s="27"/>
      <c r="AB332" s="160">
        <f t="shared" si="51"/>
        <v>63.339120372003997</v>
      </c>
      <c r="AC332" s="216">
        <f t="shared" si="49"/>
        <v>2.3307996020805601E-2</v>
      </c>
    </row>
    <row r="333" spans="1:29" s="81" customFormat="1" ht="21" customHeight="1" x14ac:dyDescent="0.25">
      <c r="A333" s="70">
        <v>333</v>
      </c>
      <c r="B333" s="71">
        <v>30333</v>
      </c>
      <c r="C333" s="72" t="s">
        <v>102</v>
      </c>
      <c r="D333" s="84" t="s">
        <v>758</v>
      </c>
      <c r="E333" s="69"/>
      <c r="F333" s="74">
        <f>8736558.55664062/10000</f>
        <v>873.65585566406196</v>
      </c>
      <c r="G333" s="75" t="s">
        <v>11</v>
      </c>
      <c r="H333" s="76">
        <v>0</v>
      </c>
      <c r="I333" s="76">
        <v>0</v>
      </c>
      <c r="J333" s="76">
        <f t="shared" si="47"/>
        <v>0</v>
      </c>
      <c r="K333" s="302">
        <f>ZoneInondable2022!G44</f>
        <v>145.30352999999999</v>
      </c>
      <c r="L333" s="302">
        <f>639488.158808712/10000</f>
        <v>63.948815880871202</v>
      </c>
      <c r="M333" s="302">
        <f>ZoneInondable2022!G679</f>
        <v>37.996450000000003</v>
      </c>
      <c r="N333" s="76"/>
      <c r="O333" s="76"/>
      <c r="P333" s="76"/>
      <c r="Q333" s="76">
        <f t="shared" si="50"/>
        <v>247.2487958808712</v>
      </c>
      <c r="R333" s="77">
        <f t="shared" si="48"/>
        <v>0.283004794482764</v>
      </c>
      <c r="S333" s="324">
        <v>0.28091623014292899</v>
      </c>
      <c r="T333" s="78">
        <v>0</v>
      </c>
      <c r="U333" s="79">
        <v>0</v>
      </c>
      <c r="V333" s="80">
        <v>0</v>
      </c>
      <c r="W333" s="80">
        <v>143.791534718272</v>
      </c>
      <c r="X333" s="80">
        <v>63.948815880871202</v>
      </c>
      <c r="Y333" s="80">
        <v>37.683758816299999</v>
      </c>
      <c r="Z333" s="80"/>
      <c r="AA333" s="80"/>
      <c r="AB333" s="164">
        <f t="shared" si="51"/>
        <v>245.42410941544318</v>
      </c>
      <c r="AC333" s="216">
        <f t="shared" si="49"/>
        <v>0.28091623014292899</v>
      </c>
    </row>
    <row r="334" spans="1:29" s="102" customFormat="1" ht="22.5" customHeight="1" x14ac:dyDescent="0.25">
      <c r="A334" s="91">
        <v>334</v>
      </c>
      <c r="B334" s="92">
        <v>30334</v>
      </c>
      <c r="C334" s="93" t="s">
        <v>429</v>
      </c>
      <c r="D334" s="94" t="s">
        <v>754</v>
      </c>
      <c r="E334" s="95"/>
      <c r="F334" s="96">
        <f>25518357.1352539/10000</f>
        <v>2551.83571352539</v>
      </c>
      <c r="G334" s="97" t="s">
        <v>837</v>
      </c>
      <c r="H334" s="98">
        <v>0</v>
      </c>
      <c r="I334" s="98">
        <v>0</v>
      </c>
      <c r="J334" s="302">
        <f>ZoneInondable2022!G574</f>
        <v>205.8417</v>
      </c>
      <c r="K334" s="302">
        <f>ZoneInondable2022!G304</f>
        <v>140.53423000000001</v>
      </c>
      <c r="L334" s="302">
        <f>ZoneInondable2022!G276</f>
        <v>270.37885</v>
      </c>
      <c r="M334" s="302">
        <f>ZoneInondable2022!G368</f>
        <v>141.40181000000001</v>
      </c>
      <c r="N334" s="98"/>
      <c r="O334" s="98"/>
      <c r="P334" s="98"/>
      <c r="Q334" s="98">
        <f t="shared" si="50"/>
        <v>758.15659000000005</v>
      </c>
      <c r="R334" s="90">
        <f t="shared" si="48"/>
        <v>0.29710242943210402</v>
      </c>
      <c r="S334" s="324">
        <v>0.15682291583424002</v>
      </c>
      <c r="T334" s="99">
        <v>397.58929402500002</v>
      </c>
      <c r="U334" s="100">
        <v>0</v>
      </c>
      <c r="V334" s="101">
        <v>0</v>
      </c>
      <c r="W334" s="101">
        <v>2.3593755999999999</v>
      </c>
      <c r="X334" s="101">
        <v>0.16871720000000001</v>
      </c>
      <c r="Y334" s="101">
        <v>6.8930499999999992E-2</v>
      </c>
      <c r="Z334" s="101"/>
      <c r="AA334" s="101"/>
      <c r="AB334" s="161">
        <f t="shared" si="51"/>
        <v>400.18631732500006</v>
      </c>
      <c r="AC334" s="216">
        <f t="shared" si="49"/>
        <v>0.15682291583424002</v>
      </c>
    </row>
    <row r="335" spans="1:29" s="149" customFormat="1" ht="21" customHeight="1" x14ac:dyDescent="0.25">
      <c r="A335" s="138">
        <v>335</v>
      </c>
      <c r="B335" s="139">
        <v>30335</v>
      </c>
      <c r="C335" s="140" t="s">
        <v>824</v>
      </c>
      <c r="D335" s="141" t="s">
        <v>754</v>
      </c>
      <c r="E335" s="137"/>
      <c r="F335" s="142">
        <f>4852962.52832031/10000</f>
        <v>485.29625283203097</v>
      </c>
      <c r="G335" s="143" t="s">
        <v>778</v>
      </c>
      <c r="H335" s="144">
        <f>T335/10000</f>
        <v>0</v>
      </c>
      <c r="I335" s="144">
        <v>0</v>
      </c>
      <c r="J335" s="144">
        <f t="shared" si="47"/>
        <v>0</v>
      </c>
      <c r="K335" s="144">
        <f>W335/10000</f>
        <v>0</v>
      </c>
      <c r="L335" s="144">
        <f>X335/10000</f>
        <v>0</v>
      </c>
      <c r="M335" s="144">
        <f>Y335/10000</f>
        <v>0</v>
      </c>
      <c r="N335" s="144"/>
      <c r="O335" s="144"/>
      <c r="P335" s="144"/>
      <c r="Q335" s="144">
        <f t="shared" si="50"/>
        <v>0</v>
      </c>
      <c r="R335" s="145">
        <f t="shared" si="48"/>
        <v>0</v>
      </c>
      <c r="S335" s="324">
        <v>0</v>
      </c>
      <c r="T335" s="146">
        <v>0</v>
      </c>
      <c r="U335" s="147">
        <v>0</v>
      </c>
      <c r="V335" s="148">
        <v>0</v>
      </c>
      <c r="W335" s="148">
        <v>0</v>
      </c>
      <c r="X335" s="148">
        <v>0</v>
      </c>
      <c r="Y335" s="148">
        <v>0</v>
      </c>
      <c r="Z335" s="148"/>
      <c r="AA335" s="148"/>
      <c r="AB335" s="51">
        <f t="shared" si="51"/>
        <v>0</v>
      </c>
      <c r="AC335" s="216">
        <f t="shared" si="49"/>
        <v>0</v>
      </c>
    </row>
    <row r="336" spans="1:29" s="129" customFormat="1" ht="20.25" customHeight="1" x14ac:dyDescent="0.25">
      <c r="A336" s="120">
        <v>336</v>
      </c>
      <c r="B336" s="121">
        <v>30336</v>
      </c>
      <c r="C336" s="122" t="s">
        <v>384</v>
      </c>
      <c r="D336" s="123" t="s">
        <v>773</v>
      </c>
      <c r="E336" s="203" t="s">
        <v>768</v>
      </c>
      <c r="F336" s="124">
        <f>14147706.5507812/10000</f>
        <v>1414.7706550781199</v>
      </c>
      <c r="G336" s="125" t="s">
        <v>11</v>
      </c>
      <c r="H336" s="36">
        <v>0</v>
      </c>
      <c r="I336" s="36">
        <v>0</v>
      </c>
      <c r="J336" s="36">
        <f t="shared" si="47"/>
        <v>0</v>
      </c>
      <c r="K336" s="36">
        <f>ZoneInondable2022!G308</f>
        <v>1324.1942950781199</v>
      </c>
      <c r="L336" s="36">
        <f>ZoneInondable2022!G242</f>
        <v>55.90889</v>
      </c>
      <c r="M336" s="36">
        <f>ZoneInondable2022!G827</f>
        <v>34.667470000000002</v>
      </c>
      <c r="N336" s="36"/>
      <c r="O336" s="36"/>
      <c r="P336" s="36"/>
      <c r="Q336" s="36">
        <f>SUM(H336:P336)</f>
        <v>1414.7706550781199</v>
      </c>
      <c r="R336" s="90">
        <f t="shared" si="48"/>
        <v>1</v>
      </c>
      <c r="S336" s="329">
        <v>0.99999908693460993</v>
      </c>
      <c r="T336" s="126">
        <v>0</v>
      </c>
      <c r="U336" s="127">
        <v>0</v>
      </c>
      <c r="V336" s="128">
        <v>0</v>
      </c>
      <c r="W336" s="128">
        <v>1323.6124</v>
      </c>
      <c r="X336" s="128">
        <v>55.893548600000003</v>
      </c>
      <c r="Y336" s="128">
        <v>35.263414699999998</v>
      </c>
      <c r="Z336" s="128"/>
      <c r="AA336" s="128"/>
      <c r="AB336" s="163">
        <f t="shared" si="51"/>
        <v>1414.7693632999999</v>
      </c>
      <c r="AC336" s="330">
        <f t="shared" si="49"/>
        <v>0.99999908693460993</v>
      </c>
    </row>
    <row r="337" spans="1:29" s="102" customFormat="1" ht="23.25" customHeight="1" x14ac:dyDescent="0.25">
      <c r="A337" s="91">
        <v>337</v>
      </c>
      <c r="B337" s="92">
        <v>30337</v>
      </c>
      <c r="C337" s="93" t="s">
        <v>493</v>
      </c>
      <c r="D337" s="94" t="s">
        <v>754</v>
      </c>
      <c r="E337" s="95"/>
      <c r="F337" s="96">
        <f>8001944.58691406/10000</f>
        <v>800.194458691406</v>
      </c>
      <c r="G337" s="97" t="s">
        <v>837</v>
      </c>
      <c r="H337" s="98">
        <v>0</v>
      </c>
      <c r="I337" s="98">
        <v>0</v>
      </c>
      <c r="J337" s="302">
        <f>ZoneInondable2022!G354</f>
        <v>16.664047</v>
      </c>
      <c r="K337" s="302">
        <f>ZoneInondable2022!G480</f>
        <v>12.312125999999999</v>
      </c>
      <c r="L337" s="302">
        <f>ZoneInondable2022!G376</f>
        <v>15.275847000000001</v>
      </c>
      <c r="M337" s="302">
        <f>ZoneInondable2022!G371</f>
        <v>17.418510000000001</v>
      </c>
      <c r="N337" s="98"/>
      <c r="O337" s="98"/>
      <c r="P337" s="98"/>
      <c r="Q337" s="98">
        <f t="shared" si="50"/>
        <v>61.670529999999999</v>
      </c>
      <c r="R337" s="204">
        <f t="shared" si="48"/>
        <v>7.7069428974617729E-2</v>
      </c>
      <c r="S337" s="324">
        <v>3.6343628934095665E-2</v>
      </c>
      <c r="T337" s="99">
        <v>29.081970481800003</v>
      </c>
      <c r="U337" s="100">
        <v>0</v>
      </c>
      <c r="V337" s="101">
        <v>0</v>
      </c>
      <c r="W337" s="101">
        <v>0</v>
      </c>
      <c r="X337" s="101">
        <v>0</v>
      </c>
      <c r="Y337" s="101">
        <v>0</v>
      </c>
      <c r="Z337" s="101"/>
      <c r="AA337" s="101"/>
      <c r="AB337" s="161">
        <f t="shared" si="51"/>
        <v>29.081970481800003</v>
      </c>
      <c r="AC337" s="216">
        <f t="shared" si="49"/>
        <v>3.6343628934095665E-2</v>
      </c>
    </row>
    <row r="338" spans="1:29" s="81" customFormat="1" ht="23.25" customHeight="1" x14ac:dyDescent="0.25">
      <c r="A338" s="70">
        <v>338</v>
      </c>
      <c r="B338" s="71">
        <v>30338</v>
      </c>
      <c r="C338" s="72" t="s">
        <v>404</v>
      </c>
      <c r="D338" s="84" t="s">
        <v>765</v>
      </c>
      <c r="E338" s="69"/>
      <c r="F338" s="74">
        <f>12858468.3793945/10000</f>
        <v>1285.8468379394499</v>
      </c>
      <c r="G338" s="75" t="s">
        <v>11</v>
      </c>
      <c r="H338" s="76">
        <v>0</v>
      </c>
      <c r="I338" s="76">
        <v>0</v>
      </c>
      <c r="J338" s="76">
        <f t="shared" si="47"/>
        <v>0</v>
      </c>
      <c r="K338" s="302">
        <f>ZoneInondable2022!G825</f>
        <v>29.74277</v>
      </c>
      <c r="L338" s="302">
        <f>ZoneInondable2022!G380</f>
        <v>20.960842</v>
      </c>
      <c r="M338" s="302">
        <f>ZoneInondable2022!G256</f>
        <v>27.706410999999999</v>
      </c>
      <c r="N338" s="76"/>
      <c r="O338" s="76"/>
      <c r="P338" s="76"/>
      <c r="Q338" s="76">
        <f t="shared" si="50"/>
        <v>78.410022999999995</v>
      </c>
      <c r="R338" s="77">
        <f t="shared" si="48"/>
        <v>6.0979286713222294E-2</v>
      </c>
      <c r="S338" s="324">
        <v>7.9579419668968799E-3</v>
      </c>
      <c r="T338" s="78">
        <v>8.7563670509899989</v>
      </c>
      <c r="U338" s="79">
        <v>0</v>
      </c>
      <c r="V338" s="80">
        <v>0</v>
      </c>
      <c r="W338" s="80">
        <v>0</v>
      </c>
      <c r="X338" s="80">
        <v>0</v>
      </c>
      <c r="Y338" s="80">
        <v>1.4763274636500001</v>
      </c>
      <c r="Z338" s="80"/>
      <c r="AA338" s="80"/>
      <c r="AB338" s="164">
        <f t="shared" si="51"/>
        <v>10.232694514639999</v>
      </c>
      <c r="AC338" s="216">
        <f t="shared" si="49"/>
        <v>7.9579419668968799E-3</v>
      </c>
    </row>
    <row r="339" spans="1:29" s="199" customFormat="1" ht="17.25" customHeight="1" x14ac:dyDescent="0.25">
      <c r="A339" s="186">
        <v>339</v>
      </c>
      <c r="B339" s="187">
        <v>30339</v>
      </c>
      <c r="C339" s="188" t="s">
        <v>825</v>
      </c>
      <c r="D339" s="189" t="s">
        <v>766</v>
      </c>
      <c r="E339" s="190" t="s">
        <v>771</v>
      </c>
      <c r="F339" s="191">
        <f>95564791.6489257/10000</f>
        <v>9556.4791648925711</v>
      </c>
      <c r="G339" s="192" t="s">
        <v>781</v>
      </c>
      <c r="H339" s="302">
        <f>ZoneInondable2022!G521</f>
        <v>75.38391</v>
      </c>
      <c r="I339" s="193">
        <v>0</v>
      </c>
      <c r="J339" s="193">
        <f t="shared" si="47"/>
        <v>0</v>
      </c>
      <c r="K339" s="302">
        <f>ZoneInondable2022!G549</f>
        <v>238.76580999999999</v>
      </c>
      <c r="L339" s="302">
        <f>ZoneInondable2022!G349</f>
        <v>4.2844604999999998</v>
      </c>
      <c r="M339" s="302">
        <f>ZoneInondable2022!G344</f>
        <v>56.437313000000003</v>
      </c>
      <c r="N339" s="193"/>
      <c r="O339" s="193"/>
      <c r="P339" s="193"/>
      <c r="Q339" s="193">
        <f t="shared" si="50"/>
        <v>374.87149350000004</v>
      </c>
      <c r="R339" s="194">
        <f t="shared" si="48"/>
        <v>3.922694614112248E-2</v>
      </c>
      <c r="S339" s="324">
        <v>3.9200616483592909E-2</v>
      </c>
      <c r="T339" s="195">
        <v>74.6933195764</v>
      </c>
      <c r="U339" s="196">
        <v>0</v>
      </c>
      <c r="V339" s="197">
        <v>0</v>
      </c>
      <c r="W339" s="197">
        <v>237.48406889999998</v>
      </c>
      <c r="X339" s="197">
        <v>4.2844983000000001</v>
      </c>
      <c r="Y339" s="197">
        <v>58.157987899999995</v>
      </c>
      <c r="Z339" s="197"/>
      <c r="AA339" s="197"/>
      <c r="AB339" s="198">
        <f t="shared" si="51"/>
        <v>374.61987467639995</v>
      </c>
      <c r="AC339" s="216">
        <f t="shared" si="49"/>
        <v>3.9200616483592909E-2</v>
      </c>
    </row>
    <row r="340" spans="1:29" s="81" customFormat="1" ht="21" customHeight="1" x14ac:dyDescent="0.25">
      <c r="A340" s="70">
        <v>340</v>
      </c>
      <c r="B340" s="71">
        <v>30340</v>
      </c>
      <c r="C340" s="72" t="s">
        <v>455</v>
      </c>
      <c r="D340" s="84" t="s">
        <v>754</v>
      </c>
      <c r="E340" s="69"/>
      <c r="F340" s="74">
        <f>19406438.3554687/10000</f>
        <v>1940.6438355468702</v>
      </c>
      <c r="G340" s="75" t="s">
        <v>11</v>
      </c>
      <c r="H340" s="76">
        <v>0</v>
      </c>
      <c r="I340" s="76">
        <v>0</v>
      </c>
      <c r="J340" s="76">
        <f t="shared" si="47"/>
        <v>0</v>
      </c>
      <c r="K340" s="302">
        <f>ZoneInondable2022!G313</f>
        <v>19.999230000000001</v>
      </c>
      <c r="L340" s="302">
        <f>ZoneInondable2022!G690</f>
        <v>47.412120000000002</v>
      </c>
      <c r="M340" s="302">
        <f>ZoneInondable2022!G717</f>
        <v>72.333320000000001</v>
      </c>
      <c r="N340" s="76"/>
      <c r="O340" s="76"/>
      <c r="P340" s="76"/>
      <c r="Q340" s="76">
        <f t="shared" si="50"/>
        <v>139.74466999999999</v>
      </c>
      <c r="R340" s="77">
        <f t="shared" si="48"/>
        <v>7.2009436992141407E-2</v>
      </c>
      <c r="S340" s="324">
        <v>7.2572050223895165E-2</v>
      </c>
      <c r="T340" s="78">
        <v>0</v>
      </c>
      <c r="U340" s="79">
        <v>0</v>
      </c>
      <c r="V340" s="80">
        <v>0</v>
      </c>
      <c r="W340" s="80">
        <v>20.104892599999999</v>
      </c>
      <c r="X340" s="80">
        <v>47.953090700000004</v>
      </c>
      <c r="Y340" s="80">
        <v>72.778518599999998</v>
      </c>
      <c r="Z340" s="80"/>
      <c r="AA340" s="80"/>
      <c r="AB340" s="164">
        <f t="shared" si="51"/>
        <v>140.8365019</v>
      </c>
      <c r="AC340" s="216">
        <f t="shared" si="49"/>
        <v>7.2572050223895165E-2</v>
      </c>
    </row>
    <row r="341" spans="1:29" s="81" customFormat="1" ht="24" customHeight="1" x14ac:dyDescent="0.25">
      <c r="A341" s="70">
        <v>341</v>
      </c>
      <c r="B341" s="71">
        <v>30341</v>
      </c>
      <c r="C341" s="72" t="s">
        <v>499</v>
      </c>
      <c r="D341" s="165" t="s">
        <v>756</v>
      </c>
      <c r="E341" s="69" t="s">
        <v>775</v>
      </c>
      <c r="F341" s="74">
        <f>110401474.012695/10000</f>
        <v>11040.1474012695</v>
      </c>
      <c r="G341" s="75" t="s">
        <v>11</v>
      </c>
      <c r="H341" s="76">
        <v>0</v>
      </c>
      <c r="I341" s="76">
        <v>0</v>
      </c>
      <c r="J341" s="76">
        <f t="shared" si="47"/>
        <v>0</v>
      </c>
      <c r="K341" s="302">
        <f>ZoneInondable2022!G526</f>
        <v>6956.9440000000004</v>
      </c>
      <c r="L341" s="302">
        <f>ZoneInondable2022!G361</f>
        <v>263.74740000000003</v>
      </c>
      <c r="M341" s="302">
        <f>ZoneInondable2022!G516</f>
        <v>327.93905999999998</v>
      </c>
      <c r="N341" s="76"/>
      <c r="O341" s="76"/>
      <c r="P341" s="76"/>
      <c r="Q341" s="76">
        <f t="shared" si="50"/>
        <v>7548.6304600000003</v>
      </c>
      <c r="R341" s="77">
        <f t="shared" si="48"/>
        <v>0.68374363001095328</v>
      </c>
      <c r="S341" s="324">
        <v>0.68056292008404606</v>
      </c>
      <c r="T341" s="78">
        <v>0</v>
      </c>
      <c r="U341" s="79">
        <v>0</v>
      </c>
      <c r="V341" s="80">
        <v>0</v>
      </c>
      <c r="W341" s="80">
        <v>6929.9431955909295</v>
      </c>
      <c r="X341" s="80">
        <v>254.71860681133299</v>
      </c>
      <c r="Y341" s="80">
        <v>328.853151164</v>
      </c>
      <c r="Z341" s="80"/>
      <c r="AA341" s="80"/>
      <c r="AB341" s="164">
        <f t="shared" si="51"/>
        <v>7513.5149535662631</v>
      </c>
      <c r="AC341" s="216">
        <f t="shared" si="49"/>
        <v>0.68056292008404606</v>
      </c>
    </row>
    <row r="342" spans="1:29" s="182" customFormat="1" ht="26.25" x14ac:dyDescent="0.25">
      <c r="A342" s="169">
        <v>342</v>
      </c>
      <c r="B342" s="170">
        <v>30342</v>
      </c>
      <c r="C342" s="171" t="s">
        <v>131</v>
      </c>
      <c r="D342" s="172" t="s">
        <v>765</v>
      </c>
      <c r="E342" s="173" t="s">
        <v>787</v>
      </c>
      <c r="F342" s="174">
        <f>18667217.649414/10000</f>
        <v>1866.7217649413999</v>
      </c>
      <c r="G342" s="175" t="s">
        <v>788</v>
      </c>
      <c r="H342" s="302">
        <f>ZoneInondable2022!G756</f>
        <v>1.4958297</v>
      </c>
      <c r="I342" s="176">
        <v>0</v>
      </c>
      <c r="J342" s="176">
        <f t="shared" si="47"/>
        <v>0</v>
      </c>
      <c r="K342" s="302">
        <f>ZoneInondable2022!G723+ZoneInondable2022!G61</f>
        <v>379.33669219999996</v>
      </c>
      <c r="L342" s="302">
        <f>ZoneInondable2022!G576+ZoneInondable2022!G403</f>
        <v>5.9983230120000002</v>
      </c>
      <c r="M342" s="176">
        <v>0</v>
      </c>
      <c r="N342" s="176"/>
      <c r="O342" s="176"/>
      <c r="P342" s="176"/>
      <c r="Q342" s="176">
        <f t="shared" si="50"/>
        <v>386.83084491199998</v>
      </c>
      <c r="R342" s="177">
        <f t="shared" si="48"/>
        <v>0.20722469313692465</v>
      </c>
      <c r="S342" s="324">
        <v>0.20637393975925628</v>
      </c>
      <c r="T342" s="178">
        <v>1.14589493441</v>
      </c>
      <c r="U342" s="179">
        <v>0</v>
      </c>
      <c r="V342" s="180">
        <v>0</v>
      </c>
      <c r="W342" s="180">
        <v>377.70393332463198</v>
      </c>
      <c r="X342" s="180">
        <v>6.3928968062670002</v>
      </c>
      <c r="Y342" s="180">
        <v>0</v>
      </c>
      <c r="Z342" s="180"/>
      <c r="AA342" s="180"/>
      <c r="AB342" s="181">
        <f t="shared" si="51"/>
        <v>385.242725065309</v>
      </c>
      <c r="AC342" s="216">
        <f t="shared" si="49"/>
        <v>0.20637393975925628</v>
      </c>
    </row>
    <row r="343" spans="1:29" s="81" customFormat="1" ht="22.5" customHeight="1" x14ac:dyDescent="0.25">
      <c r="A343" s="70">
        <v>343</v>
      </c>
      <c r="B343" s="71">
        <v>30343</v>
      </c>
      <c r="C343" s="72" t="s">
        <v>294</v>
      </c>
      <c r="D343" s="84" t="s">
        <v>765</v>
      </c>
      <c r="E343" s="69"/>
      <c r="F343" s="74">
        <f>26196564.2958984/10000</f>
        <v>2619.6564295898402</v>
      </c>
      <c r="G343" s="75" t="s">
        <v>11</v>
      </c>
      <c r="H343" s="76">
        <v>0</v>
      </c>
      <c r="I343" s="76">
        <v>0</v>
      </c>
      <c r="J343" s="76">
        <f t="shared" si="47"/>
        <v>0</v>
      </c>
      <c r="K343" s="302">
        <f>ZoneInondable2022!G164</f>
        <v>111.91914</v>
      </c>
      <c r="L343" s="302">
        <f>ZoneInondable2022!G482</f>
        <v>8.8178900000000002</v>
      </c>
      <c r="M343" s="302">
        <f>ZoneInondable2022!G414</f>
        <v>30.267778</v>
      </c>
      <c r="N343" s="76"/>
      <c r="O343" s="76"/>
      <c r="P343" s="76"/>
      <c r="Q343" s="76">
        <f t="shared" si="50"/>
        <v>151.004808</v>
      </c>
      <c r="R343" s="77">
        <f t="shared" si="48"/>
        <v>5.7642981840806823E-2</v>
      </c>
      <c r="S343" s="324">
        <v>6.0093440163003858E-2</v>
      </c>
      <c r="T343" s="78">
        <v>0</v>
      </c>
      <c r="U343" s="79">
        <v>0</v>
      </c>
      <c r="V343" s="80">
        <v>0</v>
      </c>
      <c r="W343" s="80">
        <v>118.587505756911</v>
      </c>
      <c r="X343" s="80">
        <v>8.7396638275743896</v>
      </c>
      <c r="Y343" s="80">
        <v>30.096997314700001</v>
      </c>
      <c r="Z343" s="80"/>
      <c r="AA343" s="80"/>
      <c r="AB343" s="164">
        <f t="shared" si="51"/>
        <v>157.42416689918539</v>
      </c>
      <c r="AC343" s="216">
        <f t="shared" si="49"/>
        <v>6.0093440163003858E-2</v>
      </c>
    </row>
    <row r="344" spans="1:29" s="81" customFormat="1" ht="24.75" customHeight="1" x14ac:dyDescent="0.25">
      <c r="A344" s="70">
        <v>344</v>
      </c>
      <c r="B344" s="71">
        <v>30344</v>
      </c>
      <c r="C344" s="72" t="s">
        <v>60</v>
      </c>
      <c r="D344" s="84" t="s">
        <v>758</v>
      </c>
      <c r="E344" s="69"/>
      <c r="F344" s="74">
        <f>10060882.0839843/10000</f>
        <v>1006.0882083984301</v>
      </c>
      <c r="G344" s="75" t="s">
        <v>11</v>
      </c>
      <c r="H344" s="76">
        <v>0</v>
      </c>
      <c r="I344" s="76">
        <v>0</v>
      </c>
      <c r="J344" s="76">
        <f t="shared" si="47"/>
        <v>0</v>
      </c>
      <c r="K344" s="302">
        <f>ZoneInondable2022!G23</f>
        <v>245.82301000000001</v>
      </c>
      <c r="L344" s="302">
        <f>ZoneInondable2022!G363</f>
        <v>121.12175000000001</v>
      </c>
      <c r="M344" s="302">
        <f>ZoneInondable2022!G450</f>
        <v>247.1644</v>
      </c>
      <c r="N344" s="76"/>
      <c r="O344" s="76"/>
      <c r="P344" s="76"/>
      <c r="Q344" s="76">
        <f t="shared" si="50"/>
        <v>614.10915999999997</v>
      </c>
      <c r="R344" s="77">
        <f t="shared" si="48"/>
        <v>0.61039296045183455</v>
      </c>
      <c r="S344" s="324">
        <v>0.63442447965479609</v>
      </c>
      <c r="T344" s="78">
        <v>0</v>
      </c>
      <c r="U344" s="79">
        <v>0</v>
      </c>
      <c r="V344" s="80">
        <v>0</v>
      </c>
      <c r="W344" s="80">
        <v>248.7691366</v>
      </c>
      <c r="X344" s="80">
        <v>125.3988935</v>
      </c>
      <c r="Y344" s="80">
        <v>247.6737262</v>
      </c>
      <c r="Z344" s="80">
        <v>16.445231799999998</v>
      </c>
      <c r="AA344" s="80"/>
      <c r="AB344" s="164">
        <f t="shared" si="51"/>
        <v>638.28698810000003</v>
      </c>
      <c r="AC344" s="216">
        <f t="shared" si="49"/>
        <v>0.63442447965479609</v>
      </c>
    </row>
    <row r="345" spans="1:29" s="149" customFormat="1" ht="21.75" customHeight="1" x14ac:dyDescent="0.25">
      <c r="A345" s="138">
        <v>345</v>
      </c>
      <c r="B345" s="139">
        <v>30345</v>
      </c>
      <c r="C345" s="140" t="s">
        <v>826</v>
      </c>
      <c r="D345" s="141" t="s">
        <v>765</v>
      </c>
      <c r="E345" s="137"/>
      <c r="F345" s="142">
        <f>5697163.79052734/10000</f>
        <v>569.71637905273406</v>
      </c>
      <c r="G345" s="143" t="s">
        <v>778</v>
      </c>
      <c r="H345" s="144">
        <f>T345/10000</f>
        <v>0</v>
      </c>
      <c r="I345" s="144">
        <v>0</v>
      </c>
      <c r="J345" s="144">
        <f t="shared" si="47"/>
        <v>0</v>
      </c>
      <c r="K345" s="144">
        <f>W345/10000</f>
        <v>0</v>
      </c>
      <c r="L345" s="144">
        <f>X345/10000</f>
        <v>0</v>
      </c>
      <c r="M345" s="144">
        <f>Y345/10000</f>
        <v>0</v>
      </c>
      <c r="N345" s="144"/>
      <c r="O345" s="144"/>
      <c r="P345" s="144"/>
      <c r="Q345" s="144">
        <f t="shared" si="50"/>
        <v>0</v>
      </c>
      <c r="R345" s="145">
        <f t="shared" si="48"/>
        <v>0</v>
      </c>
      <c r="S345" s="324">
        <v>0</v>
      </c>
      <c r="T345" s="146">
        <v>0</v>
      </c>
      <c r="U345" s="147">
        <v>0</v>
      </c>
      <c r="V345" s="148">
        <v>0</v>
      </c>
      <c r="W345" s="148">
        <v>0</v>
      </c>
      <c r="X345" s="148">
        <v>0</v>
      </c>
      <c r="Y345" s="148">
        <v>0</v>
      </c>
      <c r="Z345" s="148"/>
      <c r="AA345" s="148"/>
      <c r="AB345" s="162">
        <f t="shared" si="51"/>
        <v>0</v>
      </c>
      <c r="AC345" s="216">
        <f t="shared" si="49"/>
        <v>0</v>
      </c>
    </row>
    <row r="346" spans="1:29" s="81" customFormat="1" ht="26.25" x14ac:dyDescent="0.25">
      <c r="A346" s="70">
        <v>346</v>
      </c>
      <c r="B346" s="71">
        <v>30346</v>
      </c>
      <c r="C346" s="72" t="s">
        <v>280</v>
      </c>
      <c r="D346" s="84" t="s">
        <v>754</v>
      </c>
      <c r="E346" s="69"/>
      <c r="F346" s="74">
        <f>19065746.7949218/10000</f>
        <v>1906.5746794921799</v>
      </c>
      <c r="G346" s="75" t="s">
        <v>11</v>
      </c>
      <c r="H346" s="76">
        <v>0</v>
      </c>
      <c r="I346" s="76">
        <v>0</v>
      </c>
      <c r="J346" s="76">
        <f t="shared" si="47"/>
        <v>0</v>
      </c>
      <c r="K346" s="302">
        <f>ZoneInondable2022!G305</f>
        <v>225.77159</v>
      </c>
      <c r="L346" s="302">
        <f>ZoneInondable2022!G153</f>
        <v>131.04302999999999</v>
      </c>
      <c r="M346" s="302">
        <f>ZoneInondable2022!G589</f>
        <v>200.88824</v>
      </c>
      <c r="N346" s="76"/>
      <c r="O346" s="76"/>
      <c r="P346" s="76"/>
      <c r="Q346" s="76">
        <f t="shared" si="50"/>
        <v>557.70285999999999</v>
      </c>
      <c r="R346" s="77">
        <f t="shared" si="48"/>
        <v>0.29251561242203494</v>
      </c>
      <c r="S346" s="324">
        <v>0.29041026829721467</v>
      </c>
      <c r="T346" s="78">
        <v>0</v>
      </c>
      <c r="U346" s="79">
        <v>0</v>
      </c>
      <c r="V346" s="80">
        <v>0</v>
      </c>
      <c r="W346" s="80">
        <v>221.97137940000002</v>
      </c>
      <c r="X346" s="80">
        <v>151.96327600000001</v>
      </c>
      <c r="Y346" s="80">
        <v>179.75420879999999</v>
      </c>
      <c r="Z346" s="80"/>
      <c r="AA346" s="80"/>
      <c r="AB346" s="164">
        <f t="shared" si="51"/>
        <v>553.68886420000001</v>
      </c>
      <c r="AC346" s="216">
        <f t="shared" si="49"/>
        <v>0.29041026829721467</v>
      </c>
    </row>
    <row r="347" spans="1:29" s="81" customFormat="1" ht="26.25" x14ac:dyDescent="0.25">
      <c r="A347" s="70">
        <v>347</v>
      </c>
      <c r="B347" s="71">
        <v>30347</v>
      </c>
      <c r="C347" s="72" t="s">
        <v>127</v>
      </c>
      <c r="D347" s="84" t="s">
        <v>758</v>
      </c>
      <c r="E347" s="69"/>
      <c r="F347" s="74">
        <f>10905655.6357421/10000</f>
        <v>1090.56556357421</v>
      </c>
      <c r="G347" s="75" t="s">
        <v>11</v>
      </c>
      <c r="H347" s="76">
        <v>0</v>
      </c>
      <c r="I347" s="76">
        <v>0</v>
      </c>
      <c r="J347" s="76">
        <f t="shared" si="47"/>
        <v>0</v>
      </c>
      <c r="K347" s="302">
        <f>ZoneInondable2022!G59</f>
        <v>392.44366000000002</v>
      </c>
      <c r="L347" s="302">
        <f>ZoneInondable2022!G547</f>
        <v>64.070710000000005</v>
      </c>
      <c r="M347" s="302">
        <f>ZoneInondable2022!G255</f>
        <v>29.606297999999999</v>
      </c>
      <c r="N347" s="76"/>
      <c r="O347" s="76"/>
      <c r="P347" s="76"/>
      <c r="Q347" s="76">
        <f t="shared" si="50"/>
        <v>486.12066800000002</v>
      </c>
      <c r="R347" s="77">
        <f t="shared" si="48"/>
        <v>0.44575097934212449</v>
      </c>
      <c r="S347" s="324">
        <v>0.44236118076003633</v>
      </c>
      <c r="T347" s="78">
        <v>0</v>
      </c>
      <c r="U347" s="79">
        <v>0</v>
      </c>
      <c r="V347" s="80">
        <v>0</v>
      </c>
      <c r="W347" s="80">
        <v>388.97082578391701</v>
      </c>
      <c r="X347" s="80">
        <v>63.888869676504996</v>
      </c>
      <c r="Y347" s="80">
        <v>29.564174938499999</v>
      </c>
      <c r="Z347" s="80"/>
      <c r="AA347" s="80"/>
      <c r="AB347" s="164">
        <f t="shared" si="51"/>
        <v>482.42387039892202</v>
      </c>
      <c r="AC347" s="216">
        <f t="shared" si="49"/>
        <v>0.44236118076003633</v>
      </c>
    </row>
    <row r="348" spans="1:29" s="81" customFormat="1" ht="20.25" customHeight="1" x14ac:dyDescent="0.25">
      <c r="A348" s="70">
        <v>348</v>
      </c>
      <c r="B348" s="71">
        <v>30348</v>
      </c>
      <c r="C348" s="72" t="s">
        <v>123</v>
      </c>
      <c r="D348" s="84" t="s">
        <v>754</v>
      </c>
      <c r="E348" s="69"/>
      <c r="F348" s="74">
        <f>17036098.6230468/10000</f>
        <v>1703.6098623046801</v>
      </c>
      <c r="G348" s="75" t="s">
        <v>11</v>
      </c>
      <c r="H348" s="76">
        <f>T348/10000</f>
        <v>0</v>
      </c>
      <c r="I348" s="76">
        <v>0</v>
      </c>
      <c r="J348" s="76">
        <f t="shared" si="47"/>
        <v>0</v>
      </c>
      <c r="K348" s="36">
        <f>ZoneInondable2022!G156-X348</f>
        <v>355.47739585297563</v>
      </c>
      <c r="L348" s="36">
        <f>ZoneInondable2022!G449+X348</f>
        <v>39.899209147024401</v>
      </c>
      <c r="M348" s="302">
        <f>ZoneInondable2022!G57</f>
        <v>59.621093999999999</v>
      </c>
      <c r="N348" s="76"/>
      <c r="O348" s="76"/>
      <c r="P348" s="76"/>
      <c r="Q348" s="76">
        <f t="shared" si="50"/>
        <v>454.99769900000001</v>
      </c>
      <c r="R348" s="77">
        <f t="shared" si="48"/>
        <v>0.26707857771172405</v>
      </c>
      <c r="S348" s="324">
        <v>0.26139814527268485</v>
      </c>
      <c r="T348" s="78">
        <v>0</v>
      </c>
      <c r="U348" s="79">
        <v>0</v>
      </c>
      <c r="V348" s="80">
        <v>0</v>
      </c>
      <c r="W348" s="80">
        <v>347.285561333673</v>
      </c>
      <c r="X348" s="80">
        <v>35.553304147024399</v>
      </c>
      <c r="Y348" s="80">
        <v>62.481592793999994</v>
      </c>
      <c r="Z348" s="80"/>
      <c r="AA348" s="80"/>
      <c r="AB348" s="164">
        <f t="shared" si="51"/>
        <v>445.32045827469739</v>
      </c>
      <c r="AC348" s="216">
        <f t="shared" si="49"/>
        <v>0.26139814527268485</v>
      </c>
    </row>
    <row r="349" spans="1:29" s="81" customFormat="1" ht="24" customHeight="1" x14ac:dyDescent="0.25">
      <c r="A349" s="70">
        <v>349</v>
      </c>
      <c r="B349" s="71">
        <v>30349</v>
      </c>
      <c r="C349" s="72" t="s">
        <v>148</v>
      </c>
      <c r="D349" s="84" t="s">
        <v>755</v>
      </c>
      <c r="E349" s="69"/>
      <c r="F349" s="74">
        <f>8688903.43701171/10000</f>
        <v>868.89034370117099</v>
      </c>
      <c r="G349" s="75" t="s">
        <v>11</v>
      </c>
      <c r="H349" s="76">
        <v>0</v>
      </c>
      <c r="I349" s="76">
        <v>0</v>
      </c>
      <c r="J349" s="76">
        <f t="shared" si="47"/>
        <v>0</v>
      </c>
      <c r="K349" s="302">
        <f>ZoneInondable2022!G70</f>
        <v>217.73580000000001</v>
      </c>
      <c r="L349" s="302">
        <f>ZoneInondable2022!G721</f>
        <v>0.69004920000000003</v>
      </c>
      <c r="M349" s="302">
        <f>ZoneInondable2022!G82</f>
        <v>21.525513</v>
      </c>
      <c r="N349" s="76"/>
      <c r="O349" s="76"/>
      <c r="P349" s="76"/>
      <c r="Q349" s="76">
        <f t="shared" si="50"/>
        <v>239.95136220000001</v>
      </c>
      <c r="R349" s="77">
        <f t="shared" si="48"/>
        <v>0.27615839436987016</v>
      </c>
      <c r="S349" s="324">
        <v>0.2482243505070815</v>
      </c>
      <c r="T349" s="78">
        <v>0</v>
      </c>
      <c r="U349" s="79">
        <v>0</v>
      </c>
      <c r="V349" s="80">
        <v>0</v>
      </c>
      <c r="W349" s="80">
        <v>198.543484971</v>
      </c>
      <c r="X349" s="80">
        <v>0.68903585929800004</v>
      </c>
      <c r="Y349" s="80">
        <v>16.447220396799999</v>
      </c>
      <c r="Z349" s="80"/>
      <c r="AA349" s="80"/>
      <c r="AB349" s="164">
        <f t="shared" si="51"/>
        <v>215.67974122709799</v>
      </c>
      <c r="AC349" s="216">
        <f t="shared" si="49"/>
        <v>0.2482243505070815</v>
      </c>
    </row>
    <row r="350" spans="1:29" s="28" customFormat="1" ht="23.25" customHeight="1" x14ac:dyDescent="0.25">
      <c r="A350" s="17">
        <v>350</v>
      </c>
      <c r="B350" s="18">
        <v>30350</v>
      </c>
      <c r="C350" s="19" t="s">
        <v>638</v>
      </c>
      <c r="D350" s="20" t="s">
        <v>766</v>
      </c>
      <c r="E350" s="21"/>
      <c r="F350" s="22">
        <f>17229275.6958007/10000</f>
        <v>1722.92756958007</v>
      </c>
      <c r="G350" s="23" t="s">
        <v>761</v>
      </c>
      <c r="H350" s="302">
        <f>ZoneInondable2022!G657</f>
        <v>194.44197</v>
      </c>
      <c r="I350" s="24">
        <v>0</v>
      </c>
      <c r="J350" s="24">
        <f t="shared" si="47"/>
        <v>0</v>
      </c>
      <c r="K350" s="24">
        <v>0</v>
      </c>
      <c r="L350" s="24">
        <v>0</v>
      </c>
      <c r="M350" s="24">
        <v>0</v>
      </c>
      <c r="N350" s="24"/>
      <c r="O350" s="24"/>
      <c r="P350" s="24"/>
      <c r="Q350" s="24">
        <f t="shared" si="50"/>
        <v>194.44197</v>
      </c>
      <c r="R350" s="85">
        <f t="shared" si="48"/>
        <v>0.11285556829727406</v>
      </c>
      <c r="S350" s="324">
        <v>0.11153832334625553</v>
      </c>
      <c r="T350" s="25">
        <v>192.17245235800002</v>
      </c>
      <c r="U350" s="26">
        <v>0</v>
      </c>
      <c r="V350" s="27">
        <v>0</v>
      </c>
      <c r="W350" s="27">
        <v>0</v>
      </c>
      <c r="X350" s="27">
        <v>0</v>
      </c>
      <c r="Y350" s="27">
        <v>0</v>
      </c>
      <c r="Z350" s="27"/>
      <c r="AA350" s="27"/>
      <c r="AB350" s="160">
        <f t="shared" si="51"/>
        <v>192.17245235800002</v>
      </c>
      <c r="AC350" s="216">
        <f t="shared" si="49"/>
        <v>0.11153832334625553</v>
      </c>
    </row>
    <row r="351" spans="1:29" s="182" customFormat="1" ht="26.25" x14ac:dyDescent="0.25">
      <c r="A351" s="169">
        <v>351</v>
      </c>
      <c r="B351" s="170">
        <v>30351</v>
      </c>
      <c r="C351" s="171" t="s">
        <v>98</v>
      </c>
      <c r="D351" s="172" t="s">
        <v>773</v>
      </c>
      <c r="E351" s="173"/>
      <c r="F351" s="174">
        <f>18008035.2817382/10000</f>
        <v>1800.80352817382</v>
      </c>
      <c r="G351" s="175" t="s">
        <v>788</v>
      </c>
      <c r="H351" s="302">
        <f>ZoneInondable2022!G408</f>
        <v>315.92322000000001</v>
      </c>
      <c r="I351" s="302">
        <f>ZoneInondable2022!G629</f>
        <v>61.419469999999997</v>
      </c>
      <c r="J351" s="176">
        <f t="shared" si="47"/>
        <v>0</v>
      </c>
      <c r="K351" s="302">
        <f>ZoneInondable2022!G42</f>
        <v>343.42534999999998</v>
      </c>
      <c r="L351" s="302">
        <f>ZoneInondable2022!G46</f>
        <v>17.388811</v>
      </c>
      <c r="M351" s="176">
        <v>0</v>
      </c>
      <c r="N351" s="176"/>
      <c r="O351" s="176"/>
      <c r="P351" s="176"/>
      <c r="Q351" s="176">
        <f t="shared" si="50"/>
        <v>738.15685099999996</v>
      </c>
      <c r="R351" s="177">
        <f t="shared" si="48"/>
        <v>0.40990415636766259</v>
      </c>
      <c r="S351" s="324">
        <v>0.40880909895304829</v>
      </c>
      <c r="T351" s="178">
        <v>313.34852171</v>
      </c>
      <c r="U351" s="179">
        <v>61.419471187300005</v>
      </c>
      <c r="V351" s="180">
        <v>0</v>
      </c>
      <c r="W351" s="180">
        <v>343.39285155075402</v>
      </c>
      <c r="X351" s="180">
        <v>18.024023296155601</v>
      </c>
      <c r="Y351" s="180">
        <v>0</v>
      </c>
      <c r="Z351" s="180"/>
      <c r="AA351" s="180"/>
      <c r="AB351" s="181">
        <f t="shared" si="51"/>
        <v>736.18486774420967</v>
      </c>
      <c r="AC351" s="216">
        <f t="shared" si="49"/>
        <v>0.40880909895304829</v>
      </c>
    </row>
    <row r="352" spans="1:29" s="81" customFormat="1" ht="18" customHeight="1" x14ac:dyDescent="0.25">
      <c r="A352" s="70">
        <v>352</v>
      </c>
      <c r="B352" s="71">
        <v>30352</v>
      </c>
      <c r="C352" s="72" t="s">
        <v>248</v>
      </c>
      <c r="D352" s="84" t="s">
        <v>755</v>
      </c>
      <c r="E352" s="69"/>
      <c r="F352" s="74">
        <f>8315214.79882812/10000</f>
        <v>831.52147988281206</v>
      </c>
      <c r="G352" s="75" t="s">
        <v>11</v>
      </c>
      <c r="H352" s="76">
        <v>0</v>
      </c>
      <c r="I352" s="76">
        <v>0</v>
      </c>
      <c r="J352" s="76">
        <f t="shared" si="47"/>
        <v>0</v>
      </c>
      <c r="K352" s="302">
        <f>ZoneInondable2022!G130</f>
        <v>117.55754</v>
      </c>
      <c r="L352" s="302">
        <f>ZoneInondable2022!G713</f>
        <v>3.8936641000000001</v>
      </c>
      <c r="M352" s="302">
        <f>ZoneInondable2022!G699</f>
        <v>37.589336000000003</v>
      </c>
      <c r="N352" s="76"/>
      <c r="O352" s="76"/>
      <c r="P352" s="76"/>
      <c r="Q352" s="76">
        <f t="shared" si="50"/>
        <v>159.04054009999999</v>
      </c>
      <c r="R352" s="77">
        <f t="shared" si="48"/>
        <v>0.1912645000131733</v>
      </c>
      <c r="S352" s="324">
        <v>0.19290217817730773</v>
      </c>
      <c r="T352" s="78">
        <v>0</v>
      </c>
      <c r="U352" s="79">
        <v>0</v>
      </c>
      <c r="V352" s="80">
        <v>0</v>
      </c>
      <c r="W352" s="80">
        <v>117.49315375256</v>
      </c>
      <c r="X352" s="80">
        <v>3.9758263549600001</v>
      </c>
      <c r="Y352" s="80">
        <v>38.933324563092803</v>
      </c>
      <c r="Z352" s="80"/>
      <c r="AA352" s="80"/>
      <c r="AB352" s="164">
        <f t="shared" si="51"/>
        <v>160.40230467061281</v>
      </c>
      <c r="AC352" s="216">
        <f t="shared" si="49"/>
        <v>0.19290217817730773</v>
      </c>
    </row>
    <row r="353" spans="1:29" s="28" customFormat="1" ht="15" customHeight="1" x14ac:dyDescent="0.25">
      <c r="A353" s="17">
        <v>353</v>
      </c>
      <c r="B353" s="18">
        <v>30353</v>
      </c>
      <c r="C353" s="19" t="s">
        <v>408</v>
      </c>
      <c r="D353" s="20" t="s">
        <v>766</v>
      </c>
      <c r="E353" s="21"/>
      <c r="F353" s="22">
        <f>21918422.1953125/10000</f>
        <v>2191.8422195312501</v>
      </c>
      <c r="G353" s="23" t="s">
        <v>761</v>
      </c>
      <c r="H353" s="302">
        <f>ZoneInondable2022!G259</f>
        <v>69.132390000000001</v>
      </c>
      <c r="I353" s="24">
        <f>U353/10000</f>
        <v>0</v>
      </c>
      <c r="J353" s="24">
        <f t="shared" si="47"/>
        <v>0</v>
      </c>
      <c r="K353" s="24">
        <f>W353/10000</f>
        <v>0</v>
      </c>
      <c r="L353" s="24">
        <f>X353/10000</f>
        <v>0</v>
      </c>
      <c r="M353" s="24">
        <f>Y353/10000</f>
        <v>0</v>
      </c>
      <c r="N353" s="24"/>
      <c r="O353" s="24"/>
      <c r="P353" s="24"/>
      <c r="Q353" s="24">
        <f t="shared" si="50"/>
        <v>69.132390000000001</v>
      </c>
      <c r="R353" s="85">
        <f t="shared" si="48"/>
        <v>3.1540769396615022E-2</v>
      </c>
      <c r="S353" s="324">
        <v>3.1430488803401664E-2</v>
      </c>
      <c r="T353" s="25">
        <v>68.890672339800005</v>
      </c>
      <c r="U353" s="26">
        <v>0</v>
      </c>
      <c r="V353" s="27">
        <v>0</v>
      </c>
      <c r="W353" s="27">
        <v>0</v>
      </c>
      <c r="X353" s="27">
        <v>0</v>
      </c>
      <c r="Y353" s="27">
        <v>0</v>
      </c>
      <c r="Z353" s="27"/>
      <c r="AA353" s="27"/>
      <c r="AB353" s="160">
        <f t="shared" si="51"/>
        <v>68.890672339800005</v>
      </c>
      <c r="AC353" s="216">
        <f t="shared" si="49"/>
        <v>3.1430488803401664E-2</v>
      </c>
    </row>
    <row r="354" spans="1:29" s="37" customFormat="1" ht="15.75" x14ac:dyDescent="0.25">
      <c r="A354" s="210"/>
      <c r="B354" s="211"/>
      <c r="C354" s="212" t="s">
        <v>827</v>
      </c>
      <c r="D354" s="212"/>
      <c r="E354" s="212"/>
      <c r="F354" s="159">
        <f>SUM(F3:F353)</f>
        <v>587583.12097309448</v>
      </c>
      <c r="G354" s="213"/>
      <c r="H354" s="159">
        <f t="shared" ref="H354:P354" si="53">SUM(H3:H353)</f>
        <v>14117.876148888516</v>
      </c>
      <c r="I354" s="159">
        <f t="shared" si="53"/>
        <v>1018.8346591400001</v>
      </c>
      <c r="J354" s="159">
        <f t="shared" si="53"/>
        <v>1998.0465817486001</v>
      </c>
      <c r="K354" s="159">
        <f t="shared" si="53"/>
        <v>82926.873196651417</v>
      </c>
      <c r="L354" s="159">
        <f t="shared" si="53"/>
        <v>16141.24714842056</v>
      </c>
      <c r="M354" s="159">
        <f t="shared" si="53"/>
        <v>14456.475681844015</v>
      </c>
      <c r="N354" s="159">
        <f t="shared" si="53"/>
        <v>82.807280000000006</v>
      </c>
      <c r="O354" s="159"/>
      <c r="P354" s="159">
        <f t="shared" si="53"/>
        <v>252.13930999999999</v>
      </c>
      <c r="Q354" s="159">
        <f>SUM(Q3:Q353)</f>
        <v>130994.30000669304</v>
      </c>
      <c r="R354" s="214">
        <f t="shared" si="48"/>
        <v>0.22293747953439133</v>
      </c>
      <c r="S354" s="325">
        <v>0.21781586903618852</v>
      </c>
      <c r="T354" s="159">
        <f t="shared" ref="T354:AB354" si="54">SUM(T3:T353)</f>
        <v>15961.717325075357</v>
      </c>
      <c r="U354" s="159">
        <f t="shared" si="54"/>
        <v>1024.9742524998269</v>
      </c>
      <c r="V354" s="159">
        <f t="shared" si="54"/>
        <v>1548.743577</v>
      </c>
      <c r="W354" s="159">
        <f t="shared" si="54"/>
        <v>80632.535946063406</v>
      </c>
      <c r="X354" s="159">
        <f t="shared" si="54"/>
        <v>14305.829334854874</v>
      </c>
      <c r="Y354" s="159">
        <f t="shared" si="54"/>
        <v>13653.215382283874</v>
      </c>
      <c r="Z354" s="159">
        <f t="shared" si="54"/>
        <v>615.25119690000008</v>
      </c>
      <c r="AA354" s="159">
        <f t="shared" si="54"/>
        <v>242.66111107299997</v>
      </c>
      <c r="AB354" s="159">
        <f t="shared" si="54"/>
        <v>127984.92812575046</v>
      </c>
      <c r="AC354" s="217">
        <f>AB354/F354</f>
        <v>0.21781586903618852</v>
      </c>
    </row>
    <row r="355" spans="1:29" ht="15.75" x14ac:dyDescent="0.25">
      <c r="A355" s="154"/>
      <c r="B355" s="155"/>
      <c r="C355" s="156" t="s">
        <v>828</v>
      </c>
      <c r="D355" s="156"/>
      <c r="E355" s="156"/>
      <c r="F355" s="157"/>
      <c r="G355" s="158"/>
      <c r="H355" s="38"/>
      <c r="I355" s="314">
        <f>H354+I354</f>
        <v>15136.710808028516</v>
      </c>
      <c r="J355" s="38"/>
      <c r="K355" s="314">
        <f>J354+K354</f>
        <v>84924.919778400013</v>
      </c>
      <c r="L355" s="38"/>
      <c r="M355" s="38"/>
      <c r="N355" s="38"/>
      <c r="O355" s="38"/>
      <c r="P355" s="38"/>
      <c r="Q355" s="38"/>
      <c r="R355" s="39"/>
      <c r="S355" s="326"/>
    </row>
    <row r="356" spans="1:29" x14ac:dyDescent="0.25">
      <c r="B356" s="4"/>
      <c r="C356" s="5"/>
      <c r="D356" s="5"/>
      <c r="E356" s="5"/>
      <c r="F356" s="6"/>
      <c r="G356" s="7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8"/>
      <c r="S356" s="327"/>
    </row>
    <row r="357" spans="1:29" x14ac:dyDescent="0.25">
      <c r="B357" s="4"/>
      <c r="C357" s="7" t="s">
        <v>829</v>
      </c>
      <c r="D357" s="5"/>
      <c r="E357" s="5"/>
      <c r="F357" s="6"/>
      <c r="G357" s="7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8"/>
      <c r="S357" s="327"/>
    </row>
    <row r="358" spans="1:29" x14ac:dyDescent="0.25">
      <c r="B358" s="4"/>
      <c r="C358" s="7" t="s">
        <v>830</v>
      </c>
      <c r="D358" s="5"/>
      <c r="E358" s="5"/>
      <c r="F358" s="6"/>
      <c r="G358" s="7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8"/>
      <c r="S358" s="327"/>
    </row>
    <row r="359" spans="1:29" x14ac:dyDescent="0.25">
      <c r="B359" s="4"/>
      <c r="C359" s="7" t="s">
        <v>831</v>
      </c>
      <c r="D359" s="5"/>
      <c r="E359" s="5"/>
      <c r="F359" s="6"/>
      <c r="G359" s="7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8"/>
      <c r="S359" s="327"/>
    </row>
    <row r="360" spans="1:29" x14ac:dyDescent="0.25">
      <c r="B360" s="4"/>
      <c r="C360" s="7" t="s">
        <v>832</v>
      </c>
      <c r="D360" s="5"/>
      <c r="E360" s="5"/>
      <c r="F360" s="6"/>
      <c r="G360" s="7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8"/>
      <c r="S360" s="327"/>
    </row>
    <row r="361" spans="1:29" x14ac:dyDescent="0.25">
      <c r="B361" s="4"/>
      <c r="C361" s="7" t="s">
        <v>833</v>
      </c>
      <c r="D361" s="5"/>
      <c r="E361" s="5"/>
      <c r="F361" s="6"/>
      <c r="G361" s="7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8"/>
      <c r="S361" s="327"/>
    </row>
    <row r="362" spans="1:29" x14ac:dyDescent="0.25">
      <c r="B362" s="4"/>
      <c r="C362" s="40" t="s">
        <v>834</v>
      </c>
      <c r="D362" s="5"/>
      <c r="E362" s="5"/>
      <c r="F362" s="6"/>
      <c r="G362" s="7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8"/>
      <c r="S362" s="327"/>
    </row>
    <row r="363" spans="1:29" x14ac:dyDescent="0.25">
      <c r="B363" s="4"/>
      <c r="C363" s="5"/>
      <c r="D363" s="5"/>
      <c r="E363" s="5"/>
      <c r="F363" s="6"/>
      <c r="G363" s="7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8"/>
      <c r="S363" s="327"/>
    </row>
    <row r="364" spans="1:29" x14ac:dyDescent="0.25">
      <c r="B364" s="4"/>
      <c r="C364" s="5"/>
      <c r="D364" s="5"/>
      <c r="E364" s="5"/>
      <c r="F364" s="6"/>
      <c r="G364" s="7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8"/>
      <c r="S364" s="327"/>
    </row>
    <row r="365" spans="1:29" x14ac:dyDescent="0.25">
      <c r="B365" s="4"/>
      <c r="C365" s="5"/>
      <c r="D365" s="5"/>
      <c r="E365" s="5"/>
      <c r="F365" s="6"/>
      <c r="G365" s="7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8"/>
      <c r="S365" s="327"/>
    </row>
  </sheetData>
  <autoFilter ref="A2:AG355" xr:uid="{00000000-0009-0000-0000-000001000000}"/>
  <mergeCells count="2">
    <mergeCell ref="H1:R1"/>
    <mergeCell ref="T1:AC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395285-AFBB-429B-960B-B9770C32165B}">
  <dimension ref="A1:T109"/>
  <sheetViews>
    <sheetView topLeftCell="A86" zoomScaleNormal="100" workbookViewId="0">
      <selection activeCell="A109" sqref="A109"/>
    </sheetView>
  </sheetViews>
  <sheetFormatPr baseColWidth="10" defaultRowHeight="15" x14ac:dyDescent="0.25"/>
  <cols>
    <col min="1" max="1" width="28" customWidth="1"/>
    <col min="2" max="2" width="12.85546875" customWidth="1"/>
    <col min="3" max="3" width="14.5703125" customWidth="1"/>
    <col min="8" max="8" width="14.42578125" customWidth="1"/>
    <col min="10" max="10" width="16.140625" customWidth="1"/>
    <col min="11" max="11" width="17.5703125" customWidth="1"/>
    <col min="257" max="257" width="28" customWidth="1"/>
    <col min="258" max="258" width="12.85546875" customWidth="1"/>
    <col min="259" max="259" width="14.5703125" customWidth="1"/>
    <col min="264" max="264" width="14.42578125" customWidth="1"/>
    <col min="266" max="266" width="16.140625" customWidth="1"/>
    <col min="267" max="267" width="17.5703125" customWidth="1"/>
    <col min="513" max="513" width="28" customWidth="1"/>
    <col min="514" max="514" width="12.85546875" customWidth="1"/>
    <col min="515" max="515" width="14.5703125" customWidth="1"/>
    <col min="520" max="520" width="14.42578125" customWidth="1"/>
    <col min="522" max="522" width="16.140625" customWidth="1"/>
    <col min="523" max="523" width="17.5703125" customWidth="1"/>
    <col min="769" max="769" width="28" customWidth="1"/>
    <col min="770" max="770" width="12.85546875" customWidth="1"/>
    <col min="771" max="771" width="14.5703125" customWidth="1"/>
    <col min="776" max="776" width="14.42578125" customWidth="1"/>
    <col min="778" max="778" width="16.140625" customWidth="1"/>
    <col min="779" max="779" width="17.5703125" customWidth="1"/>
    <col min="1025" max="1025" width="28" customWidth="1"/>
    <col min="1026" max="1026" width="12.85546875" customWidth="1"/>
    <col min="1027" max="1027" width="14.5703125" customWidth="1"/>
    <col min="1032" max="1032" width="14.42578125" customWidth="1"/>
    <col min="1034" max="1034" width="16.140625" customWidth="1"/>
    <col min="1035" max="1035" width="17.5703125" customWidth="1"/>
    <col min="1281" max="1281" width="28" customWidth="1"/>
    <col min="1282" max="1282" width="12.85546875" customWidth="1"/>
    <col min="1283" max="1283" width="14.5703125" customWidth="1"/>
    <col min="1288" max="1288" width="14.42578125" customWidth="1"/>
    <col min="1290" max="1290" width="16.140625" customWidth="1"/>
    <col min="1291" max="1291" width="17.5703125" customWidth="1"/>
    <col min="1537" max="1537" width="28" customWidth="1"/>
    <col min="1538" max="1538" width="12.85546875" customWidth="1"/>
    <col min="1539" max="1539" width="14.5703125" customWidth="1"/>
    <col min="1544" max="1544" width="14.42578125" customWidth="1"/>
    <col min="1546" max="1546" width="16.140625" customWidth="1"/>
    <col min="1547" max="1547" width="17.5703125" customWidth="1"/>
    <col min="1793" max="1793" width="28" customWidth="1"/>
    <col min="1794" max="1794" width="12.85546875" customWidth="1"/>
    <col min="1795" max="1795" width="14.5703125" customWidth="1"/>
    <col min="1800" max="1800" width="14.42578125" customWidth="1"/>
    <col min="1802" max="1802" width="16.140625" customWidth="1"/>
    <col min="1803" max="1803" width="17.5703125" customWidth="1"/>
    <col min="2049" max="2049" width="28" customWidth="1"/>
    <col min="2050" max="2050" width="12.85546875" customWidth="1"/>
    <col min="2051" max="2051" width="14.5703125" customWidth="1"/>
    <col min="2056" max="2056" width="14.42578125" customWidth="1"/>
    <col min="2058" max="2058" width="16.140625" customWidth="1"/>
    <col min="2059" max="2059" width="17.5703125" customWidth="1"/>
    <col min="2305" max="2305" width="28" customWidth="1"/>
    <col min="2306" max="2306" width="12.85546875" customWidth="1"/>
    <col min="2307" max="2307" width="14.5703125" customWidth="1"/>
    <col min="2312" max="2312" width="14.42578125" customWidth="1"/>
    <col min="2314" max="2314" width="16.140625" customWidth="1"/>
    <col min="2315" max="2315" width="17.5703125" customWidth="1"/>
    <col min="2561" max="2561" width="28" customWidth="1"/>
    <col min="2562" max="2562" width="12.85546875" customWidth="1"/>
    <col min="2563" max="2563" width="14.5703125" customWidth="1"/>
    <col min="2568" max="2568" width="14.42578125" customWidth="1"/>
    <col min="2570" max="2570" width="16.140625" customWidth="1"/>
    <col min="2571" max="2571" width="17.5703125" customWidth="1"/>
    <col min="2817" max="2817" width="28" customWidth="1"/>
    <col min="2818" max="2818" width="12.85546875" customWidth="1"/>
    <col min="2819" max="2819" width="14.5703125" customWidth="1"/>
    <col min="2824" max="2824" width="14.42578125" customWidth="1"/>
    <col min="2826" max="2826" width="16.140625" customWidth="1"/>
    <col min="2827" max="2827" width="17.5703125" customWidth="1"/>
    <col min="3073" max="3073" width="28" customWidth="1"/>
    <col min="3074" max="3074" width="12.85546875" customWidth="1"/>
    <col min="3075" max="3075" width="14.5703125" customWidth="1"/>
    <col min="3080" max="3080" width="14.42578125" customWidth="1"/>
    <col min="3082" max="3082" width="16.140625" customWidth="1"/>
    <col min="3083" max="3083" width="17.5703125" customWidth="1"/>
    <col min="3329" max="3329" width="28" customWidth="1"/>
    <col min="3330" max="3330" width="12.85546875" customWidth="1"/>
    <col min="3331" max="3331" width="14.5703125" customWidth="1"/>
    <col min="3336" max="3336" width="14.42578125" customWidth="1"/>
    <col min="3338" max="3338" width="16.140625" customWidth="1"/>
    <col min="3339" max="3339" width="17.5703125" customWidth="1"/>
    <col min="3585" max="3585" width="28" customWidth="1"/>
    <col min="3586" max="3586" width="12.85546875" customWidth="1"/>
    <col min="3587" max="3587" width="14.5703125" customWidth="1"/>
    <col min="3592" max="3592" width="14.42578125" customWidth="1"/>
    <col min="3594" max="3594" width="16.140625" customWidth="1"/>
    <col min="3595" max="3595" width="17.5703125" customWidth="1"/>
    <col min="3841" max="3841" width="28" customWidth="1"/>
    <col min="3842" max="3842" width="12.85546875" customWidth="1"/>
    <col min="3843" max="3843" width="14.5703125" customWidth="1"/>
    <col min="3848" max="3848" width="14.42578125" customWidth="1"/>
    <col min="3850" max="3850" width="16.140625" customWidth="1"/>
    <col min="3851" max="3851" width="17.5703125" customWidth="1"/>
    <col min="4097" max="4097" width="28" customWidth="1"/>
    <col min="4098" max="4098" width="12.85546875" customWidth="1"/>
    <col min="4099" max="4099" width="14.5703125" customWidth="1"/>
    <col min="4104" max="4104" width="14.42578125" customWidth="1"/>
    <col min="4106" max="4106" width="16.140625" customWidth="1"/>
    <col min="4107" max="4107" width="17.5703125" customWidth="1"/>
    <col min="4353" max="4353" width="28" customWidth="1"/>
    <col min="4354" max="4354" width="12.85546875" customWidth="1"/>
    <col min="4355" max="4355" width="14.5703125" customWidth="1"/>
    <col min="4360" max="4360" width="14.42578125" customWidth="1"/>
    <col min="4362" max="4362" width="16.140625" customWidth="1"/>
    <col min="4363" max="4363" width="17.5703125" customWidth="1"/>
    <col min="4609" max="4609" width="28" customWidth="1"/>
    <col min="4610" max="4610" width="12.85546875" customWidth="1"/>
    <col min="4611" max="4611" width="14.5703125" customWidth="1"/>
    <col min="4616" max="4616" width="14.42578125" customWidth="1"/>
    <col min="4618" max="4618" width="16.140625" customWidth="1"/>
    <col min="4619" max="4619" width="17.5703125" customWidth="1"/>
    <col min="4865" max="4865" width="28" customWidth="1"/>
    <col min="4866" max="4866" width="12.85546875" customWidth="1"/>
    <col min="4867" max="4867" width="14.5703125" customWidth="1"/>
    <col min="4872" max="4872" width="14.42578125" customWidth="1"/>
    <col min="4874" max="4874" width="16.140625" customWidth="1"/>
    <col min="4875" max="4875" width="17.5703125" customWidth="1"/>
    <col min="5121" max="5121" width="28" customWidth="1"/>
    <col min="5122" max="5122" width="12.85546875" customWidth="1"/>
    <col min="5123" max="5123" width="14.5703125" customWidth="1"/>
    <col min="5128" max="5128" width="14.42578125" customWidth="1"/>
    <col min="5130" max="5130" width="16.140625" customWidth="1"/>
    <col min="5131" max="5131" width="17.5703125" customWidth="1"/>
    <col min="5377" max="5377" width="28" customWidth="1"/>
    <col min="5378" max="5378" width="12.85546875" customWidth="1"/>
    <col min="5379" max="5379" width="14.5703125" customWidth="1"/>
    <col min="5384" max="5384" width="14.42578125" customWidth="1"/>
    <col min="5386" max="5386" width="16.140625" customWidth="1"/>
    <col min="5387" max="5387" width="17.5703125" customWidth="1"/>
    <col min="5633" max="5633" width="28" customWidth="1"/>
    <col min="5634" max="5634" width="12.85546875" customWidth="1"/>
    <col min="5635" max="5635" width="14.5703125" customWidth="1"/>
    <col min="5640" max="5640" width="14.42578125" customWidth="1"/>
    <col min="5642" max="5642" width="16.140625" customWidth="1"/>
    <col min="5643" max="5643" width="17.5703125" customWidth="1"/>
    <col min="5889" max="5889" width="28" customWidth="1"/>
    <col min="5890" max="5890" width="12.85546875" customWidth="1"/>
    <col min="5891" max="5891" width="14.5703125" customWidth="1"/>
    <col min="5896" max="5896" width="14.42578125" customWidth="1"/>
    <col min="5898" max="5898" width="16.140625" customWidth="1"/>
    <col min="5899" max="5899" width="17.5703125" customWidth="1"/>
    <col min="6145" max="6145" width="28" customWidth="1"/>
    <col min="6146" max="6146" width="12.85546875" customWidth="1"/>
    <col min="6147" max="6147" width="14.5703125" customWidth="1"/>
    <col min="6152" max="6152" width="14.42578125" customWidth="1"/>
    <col min="6154" max="6154" width="16.140625" customWidth="1"/>
    <col min="6155" max="6155" width="17.5703125" customWidth="1"/>
    <col min="6401" max="6401" width="28" customWidth="1"/>
    <col min="6402" max="6402" width="12.85546875" customWidth="1"/>
    <col min="6403" max="6403" width="14.5703125" customWidth="1"/>
    <col min="6408" max="6408" width="14.42578125" customWidth="1"/>
    <col min="6410" max="6410" width="16.140625" customWidth="1"/>
    <col min="6411" max="6411" width="17.5703125" customWidth="1"/>
    <col min="6657" max="6657" width="28" customWidth="1"/>
    <col min="6658" max="6658" width="12.85546875" customWidth="1"/>
    <col min="6659" max="6659" width="14.5703125" customWidth="1"/>
    <col min="6664" max="6664" width="14.42578125" customWidth="1"/>
    <col min="6666" max="6666" width="16.140625" customWidth="1"/>
    <col min="6667" max="6667" width="17.5703125" customWidth="1"/>
    <col min="6913" max="6913" width="28" customWidth="1"/>
    <col min="6914" max="6914" width="12.85546875" customWidth="1"/>
    <col min="6915" max="6915" width="14.5703125" customWidth="1"/>
    <col min="6920" max="6920" width="14.42578125" customWidth="1"/>
    <col min="6922" max="6922" width="16.140625" customWidth="1"/>
    <col min="6923" max="6923" width="17.5703125" customWidth="1"/>
    <col min="7169" max="7169" width="28" customWidth="1"/>
    <col min="7170" max="7170" width="12.85546875" customWidth="1"/>
    <col min="7171" max="7171" width="14.5703125" customWidth="1"/>
    <col min="7176" max="7176" width="14.42578125" customWidth="1"/>
    <col min="7178" max="7178" width="16.140625" customWidth="1"/>
    <col min="7179" max="7179" width="17.5703125" customWidth="1"/>
    <col min="7425" max="7425" width="28" customWidth="1"/>
    <col min="7426" max="7426" width="12.85546875" customWidth="1"/>
    <col min="7427" max="7427" width="14.5703125" customWidth="1"/>
    <col min="7432" max="7432" width="14.42578125" customWidth="1"/>
    <col min="7434" max="7434" width="16.140625" customWidth="1"/>
    <col min="7435" max="7435" width="17.5703125" customWidth="1"/>
    <col min="7681" max="7681" width="28" customWidth="1"/>
    <col min="7682" max="7682" width="12.85546875" customWidth="1"/>
    <col min="7683" max="7683" width="14.5703125" customWidth="1"/>
    <col min="7688" max="7688" width="14.42578125" customWidth="1"/>
    <col min="7690" max="7690" width="16.140625" customWidth="1"/>
    <col min="7691" max="7691" width="17.5703125" customWidth="1"/>
    <col min="7937" max="7937" width="28" customWidth="1"/>
    <col min="7938" max="7938" width="12.85546875" customWidth="1"/>
    <col min="7939" max="7939" width="14.5703125" customWidth="1"/>
    <col min="7944" max="7944" width="14.42578125" customWidth="1"/>
    <col min="7946" max="7946" width="16.140625" customWidth="1"/>
    <col min="7947" max="7947" width="17.5703125" customWidth="1"/>
    <col min="8193" max="8193" width="28" customWidth="1"/>
    <col min="8194" max="8194" width="12.85546875" customWidth="1"/>
    <col min="8195" max="8195" width="14.5703125" customWidth="1"/>
    <col min="8200" max="8200" width="14.42578125" customWidth="1"/>
    <col min="8202" max="8202" width="16.140625" customWidth="1"/>
    <col min="8203" max="8203" width="17.5703125" customWidth="1"/>
    <col min="8449" max="8449" width="28" customWidth="1"/>
    <col min="8450" max="8450" width="12.85546875" customWidth="1"/>
    <col min="8451" max="8451" width="14.5703125" customWidth="1"/>
    <col min="8456" max="8456" width="14.42578125" customWidth="1"/>
    <col min="8458" max="8458" width="16.140625" customWidth="1"/>
    <col min="8459" max="8459" width="17.5703125" customWidth="1"/>
    <col min="8705" max="8705" width="28" customWidth="1"/>
    <col min="8706" max="8706" width="12.85546875" customWidth="1"/>
    <col min="8707" max="8707" width="14.5703125" customWidth="1"/>
    <col min="8712" max="8712" width="14.42578125" customWidth="1"/>
    <col min="8714" max="8714" width="16.140625" customWidth="1"/>
    <col min="8715" max="8715" width="17.5703125" customWidth="1"/>
    <col min="8961" max="8961" width="28" customWidth="1"/>
    <col min="8962" max="8962" width="12.85546875" customWidth="1"/>
    <col min="8963" max="8963" width="14.5703125" customWidth="1"/>
    <col min="8968" max="8968" width="14.42578125" customWidth="1"/>
    <col min="8970" max="8970" width="16.140625" customWidth="1"/>
    <col min="8971" max="8971" width="17.5703125" customWidth="1"/>
    <col min="9217" max="9217" width="28" customWidth="1"/>
    <col min="9218" max="9218" width="12.85546875" customWidth="1"/>
    <col min="9219" max="9219" width="14.5703125" customWidth="1"/>
    <col min="9224" max="9224" width="14.42578125" customWidth="1"/>
    <col min="9226" max="9226" width="16.140625" customWidth="1"/>
    <col min="9227" max="9227" width="17.5703125" customWidth="1"/>
    <col min="9473" max="9473" width="28" customWidth="1"/>
    <col min="9474" max="9474" width="12.85546875" customWidth="1"/>
    <col min="9475" max="9475" width="14.5703125" customWidth="1"/>
    <col min="9480" max="9480" width="14.42578125" customWidth="1"/>
    <col min="9482" max="9482" width="16.140625" customWidth="1"/>
    <col min="9483" max="9483" width="17.5703125" customWidth="1"/>
    <col min="9729" max="9729" width="28" customWidth="1"/>
    <col min="9730" max="9730" width="12.85546875" customWidth="1"/>
    <col min="9731" max="9731" width="14.5703125" customWidth="1"/>
    <col min="9736" max="9736" width="14.42578125" customWidth="1"/>
    <col min="9738" max="9738" width="16.140625" customWidth="1"/>
    <col min="9739" max="9739" width="17.5703125" customWidth="1"/>
    <col min="9985" max="9985" width="28" customWidth="1"/>
    <col min="9986" max="9986" width="12.85546875" customWidth="1"/>
    <col min="9987" max="9987" width="14.5703125" customWidth="1"/>
    <col min="9992" max="9992" width="14.42578125" customWidth="1"/>
    <col min="9994" max="9994" width="16.140625" customWidth="1"/>
    <col min="9995" max="9995" width="17.5703125" customWidth="1"/>
    <col min="10241" max="10241" width="28" customWidth="1"/>
    <col min="10242" max="10242" width="12.85546875" customWidth="1"/>
    <col min="10243" max="10243" width="14.5703125" customWidth="1"/>
    <col min="10248" max="10248" width="14.42578125" customWidth="1"/>
    <col min="10250" max="10250" width="16.140625" customWidth="1"/>
    <col min="10251" max="10251" width="17.5703125" customWidth="1"/>
    <col min="10497" max="10497" width="28" customWidth="1"/>
    <col min="10498" max="10498" width="12.85546875" customWidth="1"/>
    <col min="10499" max="10499" width="14.5703125" customWidth="1"/>
    <col min="10504" max="10504" width="14.42578125" customWidth="1"/>
    <col min="10506" max="10506" width="16.140625" customWidth="1"/>
    <col min="10507" max="10507" width="17.5703125" customWidth="1"/>
    <col min="10753" max="10753" width="28" customWidth="1"/>
    <col min="10754" max="10754" width="12.85546875" customWidth="1"/>
    <col min="10755" max="10755" width="14.5703125" customWidth="1"/>
    <col min="10760" max="10760" width="14.42578125" customWidth="1"/>
    <col min="10762" max="10762" width="16.140625" customWidth="1"/>
    <col min="10763" max="10763" width="17.5703125" customWidth="1"/>
    <col min="11009" max="11009" width="28" customWidth="1"/>
    <col min="11010" max="11010" width="12.85546875" customWidth="1"/>
    <col min="11011" max="11011" width="14.5703125" customWidth="1"/>
    <col min="11016" max="11016" width="14.42578125" customWidth="1"/>
    <col min="11018" max="11018" width="16.140625" customWidth="1"/>
    <col min="11019" max="11019" width="17.5703125" customWidth="1"/>
    <col min="11265" max="11265" width="28" customWidth="1"/>
    <col min="11266" max="11266" width="12.85546875" customWidth="1"/>
    <col min="11267" max="11267" width="14.5703125" customWidth="1"/>
    <col min="11272" max="11272" width="14.42578125" customWidth="1"/>
    <col min="11274" max="11274" width="16.140625" customWidth="1"/>
    <col min="11275" max="11275" width="17.5703125" customWidth="1"/>
    <col min="11521" max="11521" width="28" customWidth="1"/>
    <col min="11522" max="11522" width="12.85546875" customWidth="1"/>
    <col min="11523" max="11523" width="14.5703125" customWidth="1"/>
    <col min="11528" max="11528" width="14.42578125" customWidth="1"/>
    <col min="11530" max="11530" width="16.140625" customWidth="1"/>
    <col min="11531" max="11531" width="17.5703125" customWidth="1"/>
    <col min="11777" max="11777" width="28" customWidth="1"/>
    <col min="11778" max="11778" width="12.85546875" customWidth="1"/>
    <col min="11779" max="11779" width="14.5703125" customWidth="1"/>
    <col min="11784" max="11784" width="14.42578125" customWidth="1"/>
    <col min="11786" max="11786" width="16.140625" customWidth="1"/>
    <col min="11787" max="11787" width="17.5703125" customWidth="1"/>
    <col min="12033" max="12033" width="28" customWidth="1"/>
    <col min="12034" max="12034" width="12.85546875" customWidth="1"/>
    <col min="12035" max="12035" width="14.5703125" customWidth="1"/>
    <col min="12040" max="12040" width="14.42578125" customWidth="1"/>
    <col min="12042" max="12042" width="16.140625" customWidth="1"/>
    <col min="12043" max="12043" width="17.5703125" customWidth="1"/>
    <col min="12289" max="12289" width="28" customWidth="1"/>
    <col min="12290" max="12290" width="12.85546875" customWidth="1"/>
    <col min="12291" max="12291" width="14.5703125" customWidth="1"/>
    <col min="12296" max="12296" width="14.42578125" customWidth="1"/>
    <col min="12298" max="12298" width="16.140625" customWidth="1"/>
    <col min="12299" max="12299" width="17.5703125" customWidth="1"/>
    <col min="12545" max="12545" width="28" customWidth="1"/>
    <col min="12546" max="12546" width="12.85546875" customWidth="1"/>
    <col min="12547" max="12547" width="14.5703125" customWidth="1"/>
    <col min="12552" max="12552" width="14.42578125" customWidth="1"/>
    <col min="12554" max="12554" width="16.140625" customWidth="1"/>
    <col min="12555" max="12555" width="17.5703125" customWidth="1"/>
    <col min="12801" max="12801" width="28" customWidth="1"/>
    <col min="12802" max="12802" width="12.85546875" customWidth="1"/>
    <col min="12803" max="12803" width="14.5703125" customWidth="1"/>
    <col min="12808" max="12808" width="14.42578125" customWidth="1"/>
    <col min="12810" max="12810" width="16.140625" customWidth="1"/>
    <col min="12811" max="12811" width="17.5703125" customWidth="1"/>
    <col min="13057" max="13057" width="28" customWidth="1"/>
    <col min="13058" max="13058" width="12.85546875" customWidth="1"/>
    <col min="13059" max="13059" width="14.5703125" customWidth="1"/>
    <col min="13064" max="13064" width="14.42578125" customWidth="1"/>
    <col min="13066" max="13066" width="16.140625" customWidth="1"/>
    <col min="13067" max="13067" width="17.5703125" customWidth="1"/>
    <col min="13313" max="13313" width="28" customWidth="1"/>
    <col min="13314" max="13314" width="12.85546875" customWidth="1"/>
    <col min="13315" max="13315" width="14.5703125" customWidth="1"/>
    <col min="13320" max="13320" width="14.42578125" customWidth="1"/>
    <col min="13322" max="13322" width="16.140625" customWidth="1"/>
    <col min="13323" max="13323" width="17.5703125" customWidth="1"/>
    <col min="13569" max="13569" width="28" customWidth="1"/>
    <col min="13570" max="13570" width="12.85546875" customWidth="1"/>
    <col min="13571" max="13571" width="14.5703125" customWidth="1"/>
    <col min="13576" max="13576" width="14.42578125" customWidth="1"/>
    <col min="13578" max="13578" width="16.140625" customWidth="1"/>
    <col min="13579" max="13579" width="17.5703125" customWidth="1"/>
    <col min="13825" max="13825" width="28" customWidth="1"/>
    <col min="13826" max="13826" width="12.85546875" customWidth="1"/>
    <col min="13827" max="13827" width="14.5703125" customWidth="1"/>
    <col min="13832" max="13832" width="14.42578125" customWidth="1"/>
    <col min="13834" max="13834" width="16.140625" customWidth="1"/>
    <col min="13835" max="13835" width="17.5703125" customWidth="1"/>
    <col min="14081" max="14081" width="28" customWidth="1"/>
    <col min="14082" max="14082" width="12.85546875" customWidth="1"/>
    <col min="14083" max="14083" width="14.5703125" customWidth="1"/>
    <col min="14088" max="14088" width="14.42578125" customWidth="1"/>
    <col min="14090" max="14090" width="16.140625" customWidth="1"/>
    <col min="14091" max="14091" width="17.5703125" customWidth="1"/>
    <col min="14337" max="14337" width="28" customWidth="1"/>
    <col min="14338" max="14338" width="12.85546875" customWidth="1"/>
    <col min="14339" max="14339" width="14.5703125" customWidth="1"/>
    <col min="14344" max="14344" width="14.42578125" customWidth="1"/>
    <col min="14346" max="14346" width="16.140625" customWidth="1"/>
    <col min="14347" max="14347" width="17.5703125" customWidth="1"/>
    <col min="14593" max="14593" width="28" customWidth="1"/>
    <col min="14594" max="14594" width="12.85546875" customWidth="1"/>
    <col min="14595" max="14595" width="14.5703125" customWidth="1"/>
    <col min="14600" max="14600" width="14.42578125" customWidth="1"/>
    <col min="14602" max="14602" width="16.140625" customWidth="1"/>
    <col min="14603" max="14603" width="17.5703125" customWidth="1"/>
    <col min="14849" max="14849" width="28" customWidth="1"/>
    <col min="14850" max="14850" width="12.85546875" customWidth="1"/>
    <col min="14851" max="14851" width="14.5703125" customWidth="1"/>
    <col min="14856" max="14856" width="14.42578125" customWidth="1"/>
    <col min="14858" max="14858" width="16.140625" customWidth="1"/>
    <col min="14859" max="14859" width="17.5703125" customWidth="1"/>
    <col min="15105" max="15105" width="28" customWidth="1"/>
    <col min="15106" max="15106" width="12.85546875" customWidth="1"/>
    <col min="15107" max="15107" width="14.5703125" customWidth="1"/>
    <col min="15112" max="15112" width="14.42578125" customWidth="1"/>
    <col min="15114" max="15114" width="16.140625" customWidth="1"/>
    <col min="15115" max="15115" width="17.5703125" customWidth="1"/>
    <col min="15361" max="15361" width="28" customWidth="1"/>
    <col min="15362" max="15362" width="12.85546875" customWidth="1"/>
    <col min="15363" max="15363" width="14.5703125" customWidth="1"/>
    <col min="15368" max="15368" width="14.42578125" customWidth="1"/>
    <col min="15370" max="15370" width="16.140625" customWidth="1"/>
    <col min="15371" max="15371" width="17.5703125" customWidth="1"/>
    <col min="15617" max="15617" width="28" customWidth="1"/>
    <col min="15618" max="15618" width="12.85546875" customWidth="1"/>
    <col min="15619" max="15619" width="14.5703125" customWidth="1"/>
    <col min="15624" max="15624" width="14.42578125" customWidth="1"/>
    <col min="15626" max="15626" width="16.140625" customWidth="1"/>
    <col min="15627" max="15627" width="17.5703125" customWidth="1"/>
    <col min="15873" max="15873" width="28" customWidth="1"/>
    <col min="15874" max="15874" width="12.85546875" customWidth="1"/>
    <col min="15875" max="15875" width="14.5703125" customWidth="1"/>
    <col min="15880" max="15880" width="14.42578125" customWidth="1"/>
    <col min="15882" max="15882" width="16.140625" customWidth="1"/>
    <col min="15883" max="15883" width="17.5703125" customWidth="1"/>
    <col min="16129" max="16129" width="28" customWidth="1"/>
    <col min="16130" max="16130" width="12.85546875" customWidth="1"/>
    <col min="16131" max="16131" width="14.5703125" customWidth="1"/>
    <col min="16136" max="16136" width="14.42578125" customWidth="1"/>
    <col min="16138" max="16138" width="16.140625" customWidth="1"/>
    <col min="16139" max="16139" width="17.5703125" customWidth="1"/>
  </cols>
  <sheetData>
    <row r="1" spans="1:12" ht="37.5" customHeight="1" thickBot="1" x14ac:dyDescent="0.3">
      <c r="A1" s="336" t="s">
        <v>841</v>
      </c>
      <c r="B1" s="337"/>
      <c r="C1" s="337"/>
      <c r="D1" s="337"/>
      <c r="E1" s="337"/>
      <c r="F1" s="337"/>
      <c r="G1" s="337"/>
      <c r="H1" s="337"/>
      <c r="I1" s="338"/>
    </row>
    <row r="2" spans="1:12" ht="18" x14ac:dyDescent="0.25">
      <c r="A2" s="222"/>
      <c r="B2" s="223"/>
      <c r="C2" s="223"/>
      <c r="D2" s="223"/>
      <c r="E2" s="223"/>
      <c r="F2" s="223"/>
      <c r="G2" s="223"/>
      <c r="H2" s="223"/>
      <c r="I2" s="223"/>
    </row>
    <row r="4" spans="1:12" x14ac:dyDescent="0.25">
      <c r="A4" t="s">
        <v>842</v>
      </c>
      <c r="L4" s="224"/>
    </row>
    <row r="5" spans="1:12" ht="60" x14ac:dyDescent="0.25">
      <c r="A5" s="225" t="s">
        <v>745</v>
      </c>
      <c r="B5" s="226" t="s">
        <v>843</v>
      </c>
      <c r="C5" s="227" t="s">
        <v>844</v>
      </c>
      <c r="D5" s="228" t="s">
        <v>845</v>
      </c>
      <c r="J5" s="229"/>
      <c r="K5" s="230"/>
      <c r="L5" s="224"/>
    </row>
    <row r="6" spans="1:12" x14ac:dyDescent="0.25">
      <c r="A6" s="231" t="s">
        <v>846</v>
      </c>
      <c r="B6" s="232">
        <f>BV!D2</f>
        <v>166952.3861</v>
      </c>
      <c r="C6" s="233">
        <f>BV!L2</f>
        <v>26875.341466781221</v>
      </c>
      <c r="D6" s="234">
        <f>C6/B6</f>
        <v>0.16097608482626666</v>
      </c>
      <c r="J6" s="229"/>
      <c r="K6" s="230"/>
      <c r="L6" s="224"/>
    </row>
    <row r="7" spans="1:12" x14ac:dyDescent="0.25">
      <c r="A7" s="231" t="s">
        <v>765</v>
      </c>
      <c r="B7" s="232">
        <f>BV!D3</f>
        <v>114290.1667</v>
      </c>
      <c r="C7" s="233">
        <f>BV!L3</f>
        <v>11985.749970165998</v>
      </c>
      <c r="D7" s="234">
        <f t="shared" ref="D7:D14" si="0">C7/B7</f>
        <v>0.10487122660016207</v>
      </c>
      <c r="H7" s="235" t="s">
        <v>847</v>
      </c>
      <c r="I7" s="229">
        <f>C14</f>
        <v>130994.3000066931</v>
      </c>
      <c r="J7" s="229"/>
      <c r="K7" s="230"/>
      <c r="L7" s="224"/>
    </row>
    <row r="8" spans="1:12" x14ac:dyDescent="0.25">
      <c r="A8" s="231" t="s">
        <v>848</v>
      </c>
      <c r="B8" s="232">
        <f>BV!D4</f>
        <v>100976.5446377</v>
      </c>
      <c r="C8" s="233">
        <f>BV!L4</f>
        <v>55675.391218603443</v>
      </c>
      <c r="D8" s="234">
        <f t="shared" si="0"/>
        <v>0.55136954248498626</v>
      </c>
      <c r="H8" s="235" t="s">
        <v>849</v>
      </c>
      <c r="I8" s="229">
        <f>B14-C14</f>
        <v>456588.82096640137</v>
      </c>
      <c r="J8" s="229"/>
      <c r="K8" s="230"/>
      <c r="L8" s="224"/>
    </row>
    <row r="9" spans="1:12" x14ac:dyDescent="0.25">
      <c r="A9" s="231" t="s">
        <v>760</v>
      </c>
      <c r="B9" s="232">
        <f>BV!D5</f>
        <v>12105.6564514</v>
      </c>
      <c r="C9" s="233">
        <f>BV!L5</f>
        <v>1119.0535423828105</v>
      </c>
      <c r="D9" s="234">
        <f t="shared" si="0"/>
        <v>9.2440550157310453E-2</v>
      </c>
      <c r="J9" s="229"/>
      <c r="K9" s="230"/>
      <c r="L9" s="224"/>
    </row>
    <row r="10" spans="1:12" x14ac:dyDescent="0.25">
      <c r="A10" s="231" t="s">
        <v>850</v>
      </c>
      <c r="B10" s="232">
        <f>BV!D11</f>
        <v>76866.540568457</v>
      </c>
      <c r="C10" s="233">
        <f>BV!L11</f>
        <v>28391.37881372065</v>
      </c>
      <c r="D10" s="234">
        <f t="shared" si="0"/>
        <v>0.36935939361594416</v>
      </c>
      <c r="J10" s="229"/>
      <c r="K10" s="230"/>
      <c r="L10" s="224"/>
    </row>
    <row r="11" spans="1:12" x14ac:dyDescent="0.25">
      <c r="A11" s="231" t="s">
        <v>770</v>
      </c>
      <c r="B11" s="232">
        <f>BV!D8</f>
        <v>56503.012414299999</v>
      </c>
      <c r="C11" s="233">
        <f>BV!L8</f>
        <v>1993.6597281249979</v>
      </c>
      <c r="D11" s="234">
        <f t="shared" si="0"/>
        <v>3.5284131640748319E-2</v>
      </c>
      <c r="J11" s="229"/>
      <c r="K11" s="230"/>
      <c r="L11" s="224"/>
    </row>
    <row r="12" spans="1:12" x14ac:dyDescent="0.25">
      <c r="A12" s="231" t="s">
        <v>851</v>
      </c>
      <c r="B12" s="232">
        <f>BV!D9</f>
        <v>22066.459699999999</v>
      </c>
      <c r="C12" s="233">
        <f>BV!L9</f>
        <v>563.20154106445261</v>
      </c>
      <c r="D12" s="234">
        <f t="shared" si="0"/>
        <v>2.5522967830877402E-2</v>
      </c>
      <c r="J12" s="229"/>
      <c r="K12" s="230"/>
      <c r="L12" s="224"/>
    </row>
    <row r="13" spans="1:12" x14ac:dyDescent="0.25">
      <c r="A13" s="231" t="s">
        <v>852</v>
      </c>
      <c r="B13" s="232">
        <f>BV!D7</f>
        <v>70319.262682299988</v>
      </c>
      <c r="C13" s="233">
        <f>BV!L7</f>
        <v>16403.087764029264</v>
      </c>
      <c r="D13" s="234">
        <f>C13/B13</f>
        <v>0.23326592370767382</v>
      </c>
      <c r="J13" s="229"/>
      <c r="K13" s="230"/>
      <c r="L13" s="224"/>
    </row>
    <row r="14" spans="1:12" x14ac:dyDescent="0.25">
      <c r="A14" s="236" t="s">
        <v>853</v>
      </c>
      <c r="B14" s="232">
        <f>BV!D12</f>
        <v>587583.12097309448</v>
      </c>
      <c r="C14" s="233">
        <f>BV!K12</f>
        <v>130994.3000066931</v>
      </c>
      <c r="D14" s="234">
        <f t="shared" si="0"/>
        <v>0.22293747953439144</v>
      </c>
      <c r="J14" s="229"/>
      <c r="K14" s="230"/>
      <c r="L14" s="224"/>
    </row>
    <row r="15" spans="1:12" x14ac:dyDescent="0.25">
      <c r="C15" s="229">
        <f>SUM(C6:C13)</f>
        <v>143006.86404487284</v>
      </c>
      <c r="J15" s="229"/>
      <c r="K15" s="230"/>
      <c r="L15" s="224"/>
    </row>
    <row r="16" spans="1:12" x14ac:dyDescent="0.25">
      <c r="J16" s="229"/>
      <c r="K16" s="230"/>
      <c r="L16" s="224"/>
    </row>
    <row r="17" spans="1:12" ht="15.75" thickBot="1" x14ac:dyDescent="0.3">
      <c r="J17" s="229"/>
      <c r="K17" s="230"/>
      <c r="L17" s="224"/>
    </row>
    <row r="18" spans="1:12" ht="30.75" thickBot="1" x14ac:dyDescent="0.3">
      <c r="A18" s="237" t="s">
        <v>745</v>
      </c>
      <c r="B18" s="238" t="s">
        <v>854</v>
      </c>
      <c r="C18" s="239" t="s">
        <v>855</v>
      </c>
      <c r="D18" s="240" t="s">
        <v>856</v>
      </c>
      <c r="E18" s="241"/>
      <c r="F18" s="242"/>
      <c r="G18" s="242"/>
      <c r="H18" s="243"/>
    </row>
    <row r="19" spans="1:12" ht="15.75" thickBot="1" x14ac:dyDescent="0.3">
      <c r="A19" s="231" t="s">
        <v>846</v>
      </c>
      <c r="B19" s="244">
        <f t="shared" ref="B19:B27" si="1">D6</f>
        <v>0.16097608482626666</v>
      </c>
      <c r="C19" s="245">
        <f>1-B19</f>
        <v>0.83902391517373331</v>
      </c>
      <c r="D19" s="246">
        <f>B19+C19</f>
        <v>1</v>
      </c>
      <c r="E19" s="247"/>
      <c r="F19" s="248"/>
      <c r="G19" s="248"/>
      <c r="H19" s="248"/>
    </row>
    <row r="20" spans="1:12" ht="15.75" thickBot="1" x14ac:dyDescent="0.3">
      <c r="A20" s="231" t="s">
        <v>765</v>
      </c>
      <c r="B20" s="244">
        <f t="shared" si="1"/>
        <v>0.10487122660016207</v>
      </c>
      <c r="C20" s="245">
        <f t="shared" ref="C20:C27" si="2">1-B20</f>
        <v>0.89512877339983787</v>
      </c>
      <c r="D20" s="246">
        <f t="shared" ref="D20:D28" si="3">B20+C20</f>
        <v>1</v>
      </c>
      <c r="E20" s="249"/>
      <c r="F20" s="248"/>
      <c r="G20" s="248"/>
      <c r="H20" s="248"/>
    </row>
    <row r="21" spans="1:12" ht="15.75" thickBot="1" x14ac:dyDescent="0.3">
      <c r="A21" s="231" t="s">
        <v>848</v>
      </c>
      <c r="B21" s="244">
        <f t="shared" si="1"/>
        <v>0.55136954248498626</v>
      </c>
      <c r="C21" s="245">
        <f t="shared" si="2"/>
        <v>0.44863045751501374</v>
      </c>
      <c r="D21" s="246">
        <f t="shared" si="3"/>
        <v>1</v>
      </c>
      <c r="E21" s="249"/>
      <c r="F21" s="248"/>
      <c r="G21" s="248"/>
      <c r="H21" s="248"/>
    </row>
    <row r="22" spans="1:12" ht="15.75" thickBot="1" x14ac:dyDescent="0.3">
      <c r="A22" s="231" t="s">
        <v>760</v>
      </c>
      <c r="B22" s="244">
        <f t="shared" si="1"/>
        <v>9.2440550157310453E-2</v>
      </c>
      <c r="C22" s="245">
        <f t="shared" si="2"/>
        <v>0.90755944984268955</v>
      </c>
      <c r="D22" s="246">
        <f t="shared" si="3"/>
        <v>1</v>
      </c>
      <c r="E22" s="249"/>
      <c r="F22" s="248"/>
      <c r="G22" s="248"/>
      <c r="H22" s="248"/>
    </row>
    <row r="23" spans="1:12" ht="15.75" thickBot="1" x14ac:dyDescent="0.3">
      <c r="A23" s="250" t="s">
        <v>857</v>
      </c>
      <c r="B23" s="244">
        <f t="shared" si="1"/>
        <v>0.36935939361594416</v>
      </c>
      <c r="C23" s="245">
        <f t="shared" si="2"/>
        <v>0.63064060638405584</v>
      </c>
      <c r="D23" s="246">
        <f t="shared" si="3"/>
        <v>1</v>
      </c>
      <c r="E23" s="249"/>
      <c r="F23" s="248"/>
      <c r="G23" s="248"/>
      <c r="H23" s="248"/>
    </row>
    <row r="24" spans="1:12" ht="15.75" thickBot="1" x14ac:dyDescent="0.3">
      <c r="A24" s="231" t="s">
        <v>770</v>
      </c>
      <c r="B24" s="244">
        <f t="shared" si="1"/>
        <v>3.5284131640748319E-2</v>
      </c>
      <c r="C24" s="245">
        <f t="shared" si="2"/>
        <v>0.96471586835925172</v>
      </c>
      <c r="D24" s="246">
        <f t="shared" si="3"/>
        <v>1</v>
      </c>
      <c r="E24" s="249"/>
      <c r="F24" s="248"/>
      <c r="G24" s="248"/>
      <c r="H24" s="248"/>
    </row>
    <row r="25" spans="1:12" ht="15.75" thickBot="1" x14ac:dyDescent="0.3">
      <c r="A25" s="231" t="s">
        <v>851</v>
      </c>
      <c r="B25" s="244">
        <f t="shared" si="1"/>
        <v>2.5522967830877402E-2</v>
      </c>
      <c r="C25" s="245">
        <f t="shared" si="2"/>
        <v>0.97447703216912263</v>
      </c>
      <c r="D25" s="246">
        <f t="shared" si="3"/>
        <v>1</v>
      </c>
      <c r="E25" s="249"/>
      <c r="F25" s="248"/>
      <c r="G25" s="248"/>
      <c r="H25" s="248"/>
    </row>
    <row r="26" spans="1:12" ht="15.75" thickBot="1" x14ac:dyDescent="0.3">
      <c r="A26" s="250" t="s">
        <v>858</v>
      </c>
      <c r="B26" s="244">
        <f t="shared" si="1"/>
        <v>0.23326592370767382</v>
      </c>
      <c r="C26" s="245">
        <f t="shared" si="2"/>
        <v>0.76673407629232615</v>
      </c>
      <c r="D26" s="246">
        <f t="shared" si="3"/>
        <v>1</v>
      </c>
      <c r="E26" s="249"/>
      <c r="F26" s="248"/>
      <c r="G26" s="248"/>
      <c r="H26" s="248"/>
    </row>
    <row r="27" spans="1:12" ht="15.75" thickBot="1" x14ac:dyDescent="0.3">
      <c r="A27" s="236" t="s">
        <v>853</v>
      </c>
      <c r="B27" s="244">
        <f t="shared" si="1"/>
        <v>0.22293747953439144</v>
      </c>
      <c r="C27" s="245">
        <f t="shared" si="2"/>
        <v>0.77706252046560853</v>
      </c>
      <c r="D27" s="246">
        <f t="shared" si="3"/>
        <v>1</v>
      </c>
      <c r="E27" s="249"/>
      <c r="F27" s="248"/>
      <c r="G27" s="248"/>
      <c r="H27" s="248"/>
    </row>
    <row r="28" spans="1:12" ht="15.75" thickBot="1" x14ac:dyDescent="0.3">
      <c r="A28" s="231"/>
      <c r="B28" s="246"/>
      <c r="C28" s="251"/>
      <c r="D28" s="246">
        <f t="shared" si="3"/>
        <v>0</v>
      </c>
      <c r="E28" s="249"/>
      <c r="F28" s="248"/>
      <c r="G28" s="248"/>
      <c r="H28" s="248"/>
    </row>
    <row r="29" spans="1:12" ht="15.75" thickBot="1" x14ac:dyDescent="0.3">
      <c r="A29" s="252"/>
      <c r="B29" s="246"/>
      <c r="C29" s="246"/>
      <c r="D29" s="246"/>
      <c r="E29" s="253"/>
      <c r="F29" s="248"/>
      <c r="G29" s="248"/>
      <c r="H29" s="248"/>
    </row>
    <row r="55" spans="1:7" x14ac:dyDescent="0.25">
      <c r="B55" t="s">
        <v>1145</v>
      </c>
      <c r="C55" t="s">
        <v>1140</v>
      </c>
      <c r="D55" t="s">
        <v>1141</v>
      </c>
      <c r="E55" t="s">
        <v>1143</v>
      </c>
      <c r="F55" t="s">
        <v>1142</v>
      </c>
    </row>
    <row r="56" spans="1:7" x14ac:dyDescent="0.25">
      <c r="A56" s="231" t="s">
        <v>846</v>
      </c>
      <c r="B56" s="233">
        <f>BV!F2/10000</f>
        <v>14306.265808357119</v>
      </c>
      <c r="C56" s="233">
        <f>BV!G2/10000</f>
        <v>4509.0562884202063</v>
      </c>
      <c r="D56" s="233">
        <f>BV!H2/10000</f>
        <v>5909.681971923821</v>
      </c>
      <c r="E56" s="320">
        <f>BV!E2/10000</f>
        <v>2150.3373980800739</v>
      </c>
      <c r="F56" s="232"/>
      <c r="G56" s="232">
        <f>B56+C56+D56+E56+F56</f>
        <v>26875.341466781218</v>
      </c>
    </row>
    <row r="57" spans="1:7" x14ac:dyDescent="0.25">
      <c r="A57" s="231" t="s">
        <v>765</v>
      </c>
      <c r="B57" s="233">
        <f>BV!F3/10000</f>
        <v>8068.650865624988</v>
      </c>
      <c r="C57" s="233">
        <f>BV!G3/10000</f>
        <v>1718.1214152343712</v>
      </c>
      <c r="D57" s="233">
        <f>BV!H3/10000</f>
        <v>1951.909179248044</v>
      </c>
      <c r="E57" s="320">
        <f>BV!E3/10000</f>
        <v>247.06851005859366</v>
      </c>
      <c r="F57" s="232"/>
      <c r="G57" s="232">
        <f t="shared" ref="G57:G63" si="4">B57+C57+D57+E57+F57</f>
        <v>11985.749970165998</v>
      </c>
    </row>
    <row r="58" spans="1:7" x14ac:dyDescent="0.25">
      <c r="A58" s="231" t="s">
        <v>848</v>
      </c>
      <c r="B58" s="233">
        <f>BV!F4/10000</f>
        <v>46236.783150634714</v>
      </c>
      <c r="C58" s="233">
        <f>BV!G4/10000</f>
        <v>3134.0318449706988</v>
      </c>
      <c r="D58" s="233">
        <f>BV!H4/10000</f>
        <v>1818.4920583496059</v>
      </c>
      <c r="E58" s="320">
        <f>(BV!E4+BV!J4)/10000</f>
        <v>4486.0841646484296</v>
      </c>
      <c r="F58" s="232"/>
      <c r="G58" s="232">
        <f t="shared" si="4"/>
        <v>55675.391218603443</v>
      </c>
    </row>
    <row r="59" spans="1:7" x14ac:dyDescent="0.25">
      <c r="A59" s="231" t="s">
        <v>760</v>
      </c>
      <c r="B59" s="233">
        <f>BV!F5/10000</f>
        <v>126.067425146484</v>
      </c>
      <c r="C59" s="233">
        <f>BV!G5/10000</f>
        <v>3.5265854492187501</v>
      </c>
      <c r="D59" s="233">
        <f>BV!H5/10000</f>
        <v>0</v>
      </c>
      <c r="E59" s="320">
        <f>BV!E5/10000</f>
        <v>989.45953178710772</v>
      </c>
      <c r="F59" s="232"/>
      <c r="G59" s="232">
        <f t="shared" si="4"/>
        <v>1119.0535423828105</v>
      </c>
    </row>
    <row r="60" spans="1:7" x14ac:dyDescent="0.25">
      <c r="A60" s="250" t="s">
        <v>857</v>
      </c>
      <c r="B60" s="233">
        <f>BV!F11/10000</f>
        <v>14667.245263183569</v>
      </c>
      <c r="C60" s="233">
        <f>BV!G11/10000</f>
        <v>6963.8417585937332</v>
      </c>
      <c r="D60" s="233">
        <f>BV!H11/10000</f>
        <v>4686.8713678710874</v>
      </c>
      <c r="E60" s="320">
        <f>(BV!E11+BV!I11+BV!J11)/10000</f>
        <v>2073.4204240722588</v>
      </c>
      <c r="F60" s="232"/>
      <c r="G60" s="232">
        <f t="shared" si="4"/>
        <v>28391.37881372065</v>
      </c>
    </row>
    <row r="61" spans="1:7" x14ac:dyDescent="0.25">
      <c r="A61" s="231" t="s">
        <v>770</v>
      </c>
      <c r="B61" s="233">
        <f>BV!F8/10000</f>
        <v>216.25554521484301</v>
      </c>
      <c r="C61" s="233">
        <f>BV!G8/10000</f>
        <v>4.28446025390625</v>
      </c>
      <c r="D61" s="233">
        <f>BV!H8/10000</f>
        <v>56.437313916015604</v>
      </c>
      <c r="E61" s="320">
        <f>BV!E8/10000</f>
        <v>1716.6824087402329</v>
      </c>
      <c r="F61" s="232"/>
      <c r="G61" s="232">
        <f t="shared" si="4"/>
        <v>1993.6597281249979</v>
      </c>
    </row>
    <row r="62" spans="1:7" x14ac:dyDescent="0.25">
      <c r="A62" s="231" t="s">
        <v>851</v>
      </c>
      <c r="B62" s="233">
        <f>BV!F9/10000</f>
        <v>22.5102046875</v>
      </c>
      <c r="C62" s="233">
        <f>BV!G9/10000</f>
        <v>0</v>
      </c>
      <c r="D62" s="233">
        <f>BV!H9/10000</f>
        <v>0</v>
      </c>
      <c r="E62" s="320">
        <f>BV!E9/10000</f>
        <v>540.69133637695256</v>
      </c>
      <c r="F62" s="232"/>
      <c r="G62" s="232">
        <f t="shared" si="4"/>
        <v>563.20154106445261</v>
      </c>
    </row>
    <row r="63" spans="1:7" x14ac:dyDescent="0.25">
      <c r="A63" s="250" t="s">
        <v>858</v>
      </c>
      <c r="B63" s="233">
        <f>BV!F7/10000</f>
        <v>9887.1102639648198</v>
      </c>
      <c r="C63" s="233">
        <f>BV!G7/10000</f>
        <v>914.91480170898274</v>
      </c>
      <c r="D63" s="233">
        <f>BV!H7/10000</f>
        <v>1309.4810688476532</v>
      </c>
      <c r="E63" s="320">
        <f>(BV!E7+BV!J7)/10000</f>
        <v>4291.5816295078084</v>
      </c>
      <c r="F63" s="232"/>
      <c r="G63" s="232">
        <f t="shared" si="4"/>
        <v>16403.087764029264</v>
      </c>
    </row>
    <row r="82" spans="20:20" x14ac:dyDescent="0.25">
      <c r="T82" t="s">
        <v>1135</v>
      </c>
    </row>
    <row r="100" spans="1:3" ht="30" x14ac:dyDescent="0.25">
      <c r="A100" s="225" t="s">
        <v>859</v>
      </c>
      <c r="B100" s="226" t="s">
        <v>860</v>
      </c>
    </row>
    <row r="101" spans="1:3" x14ac:dyDescent="0.25">
      <c r="A101" s="254" t="s">
        <v>861</v>
      </c>
      <c r="B101" s="255">
        <f>communesZI!J354</f>
        <v>1998.0465817486001</v>
      </c>
      <c r="C101" s="251">
        <f>B101/B106</f>
        <v>1.5252927659039446E-2</v>
      </c>
    </row>
    <row r="102" spans="1:3" x14ac:dyDescent="0.25">
      <c r="A102" s="231" t="s">
        <v>15</v>
      </c>
      <c r="B102" s="232">
        <f>communesZI!K354</f>
        <v>82926.873196651417</v>
      </c>
      <c r="C102" s="251">
        <f>B102/B106</f>
        <v>0.6330571115874073</v>
      </c>
    </row>
    <row r="103" spans="1:3" x14ac:dyDescent="0.25">
      <c r="A103" s="231" t="s">
        <v>727</v>
      </c>
      <c r="B103" s="232">
        <f>communesZI!L354</f>
        <v>16141.24714842056</v>
      </c>
      <c r="C103" s="251">
        <f>B103/B106</f>
        <v>0.12322098860481585</v>
      </c>
    </row>
    <row r="104" spans="1:3" x14ac:dyDescent="0.25">
      <c r="A104" s="250" t="s">
        <v>1131</v>
      </c>
      <c r="B104" s="232">
        <f>communesZI!M354+communesZI!N354+communesZI!P354</f>
        <v>14791.422271844016</v>
      </c>
      <c r="C104" s="251">
        <f>B104/B106</f>
        <v>0.1129165335521336</v>
      </c>
    </row>
    <row r="105" spans="1:3" x14ac:dyDescent="0.25">
      <c r="A105" s="231" t="s">
        <v>1144</v>
      </c>
      <c r="B105" s="232">
        <f>communesZI!H354+communesZI!I354</f>
        <v>15136.710808028516</v>
      </c>
      <c r="C105" s="251">
        <f>B105/B106</f>
        <v>0.11555243859660391</v>
      </c>
    </row>
    <row r="106" spans="1:3" s="256" customFormat="1" ht="12.75" x14ac:dyDescent="0.2">
      <c r="A106" s="236" t="s">
        <v>853</v>
      </c>
      <c r="B106" s="233">
        <f>SUM(B101:B105)</f>
        <v>130994.3000066931</v>
      </c>
    </row>
    <row r="109" spans="1:3" x14ac:dyDescent="0.25">
      <c r="B109">
        <f>63.3+1.5+12.3+11.3+11.6</f>
        <v>99.999999999999986</v>
      </c>
    </row>
  </sheetData>
  <mergeCells count="1">
    <mergeCell ref="A1:I1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91F966-28DB-4FEA-8AAE-F3FB6A137C9B}">
  <dimension ref="A1:M17"/>
  <sheetViews>
    <sheetView workbookViewId="0">
      <selection activeCell="F27" sqref="F27"/>
    </sheetView>
  </sheetViews>
  <sheetFormatPr baseColWidth="10" defaultRowHeight="15" x14ac:dyDescent="0.25"/>
  <cols>
    <col min="1" max="1" width="27.28515625" customWidth="1"/>
    <col min="2" max="2" width="17.140625" customWidth="1"/>
    <col min="3" max="3" width="12.85546875" customWidth="1"/>
    <col min="4" max="8" width="15.85546875" customWidth="1"/>
    <col min="9" max="10" width="8.85546875" customWidth="1"/>
    <col min="11" max="11" width="15.85546875" customWidth="1"/>
    <col min="12" max="12" width="16.42578125" customWidth="1"/>
    <col min="264" max="264" width="21.5703125" customWidth="1"/>
    <col min="265" max="265" width="14.5703125" customWidth="1"/>
    <col min="266" max="266" width="12.85546875" customWidth="1"/>
    <col min="267" max="267" width="15.85546875" customWidth="1"/>
    <col min="268" max="268" width="16.42578125" customWidth="1"/>
    <col min="520" max="520" width="21.5703125" customWidth="1"/>
    <col min="521" max="521" width="14.5703125" customWidth="1"/>
    <col min="522" max="522" width="12.85546875" customWidth="1"/>
    <col min="523" max="523" width="15.85546875" customWidth="1"/>
    <col min="524" max="524" width="16.42578125" customWidth="1"/>
    <col min="776" max="776" width="21.5703125" customWidth="1"/>
    <col min="777" max="777" width="14.5703125" customWidth="1"/>
    <col min="778" max="778" width="12.85546875" customWidth="1"/>
    <col min="779" max="779" width="15.85546875" customWidth="1"/>
    <col min="780" max="780" width="16.42578125" customWidth="1"/>
    <col min="1032" max="1032" width="21.5703125" customWidth="1"/>
    <col min="1033" max="1033" width="14.5703125" customWidth="1"/>
    <col min="1034" max="1034" width="12.85546875" customWidth="1"/>
    <col min="1035" max="1035" width="15.85546875" customWidth="1"/>
    <col min="1036" max="1036" width="16.42578125" customWidth="1"/>
    <col min="1288" max="1288" width="21.5703125" customWidth="1"/>
    <col min="1289" max="1289" width="14.5703125" customWidth="1"/>
    <col min="1290" max="1290" width="12.85546875" customWidth="1"/>
    <col min="1291" max="1291" width="15.85546875" customWidth="1"/>
    <col min="1292" max="1292" width="16.42578125" customWidth="1"/>
    <col min="1544" max="1544" width="21.5703125" customWidth="1"/>
    <col min="1545" max="1545" width="14.5703125" customWidth="1"/>
    <col min="1546" max="1546" width="12.85546875" customWidth="1"/>
    <col min="1547" max="1547" width="15.85546875" customWidth="1"/>
    <col min="1548" max="1548" width="16.42578125" customWidth="1"/>
    <col min="1800" max="1800" width="21.5703125" customWidth="1"/>
    <col min="1801" max="1801" width="14.5703125" customWidth="1"/>
    <col min="1802" max="1802" width="12.85546875" customWidth="1"/>
    <col min="1803" max="1803" width="15.85546875" customWidth="1"/>
    <col min="1804" max="1804" width="16.42578125" customWidth="1"/>
    <col min="2056" max="2056" width="21.5703125" customWidth="1"/>
    <col min="2057" max="2057" width="14.5703125" customWidth="1"/>
    <col min="2058" max="2058" width="12.85546875" customWidth="1"/>
    <col min="2059" max="2059" width="15.85546875" customWidth="1"/>
    <col min="2060" max="2060" width="16.42578125" customWidth="1"/>
    <col min="2312" max="2312" width="21.5703125" customWidth="1"/>
    <col min="2313" max="2313" width="14.5703125" customWidth="1"/>
    <col min="2314" max="2314" width="12.85546875" customWidth="1"/>
    <col min="2315" max="2315" width="15.85546875" customWidth="1"/>
    <col min="2316" max="2316" width="16.42578125" customWidth="1"/>
    <col min="2568" max="2568" width="21.5703125" customWidth="1"/>
    <col min="2569" max="2569" width="14.5703125" customWidth="1"/>
    <col min="2570" max="2570" width="12.85546875" customWidth="1"/>
    <col min="2571" max="2571" width="15.85546875" customWidth="1"/>
    <col min="2572" max="2572" width="16.42578125" customWidth="1"/>
    <col min="2824" max="2824" width="21.5703125" customWidth="1"/>
    <col min="2825" max="2825" width="14.5703125" customWidth="1"/>
    <col min="2826" max="2826" width="12.85546875" customWidth="1"/>
    <col min="2827" max="2827" width="15.85546875" customWidth="1"/>
    <col min="2828" max="2828" width="16.42578125" customWidth="1"/>
    <col min="3080" max="3080" width="21.5703125" customWidth="1"/>
    <col min="3081" max="3081" width="14.5703125" customWidth="1"/>
    <col min="3082" max="3082" width="12.85546875" customWidth="1"/>
    <col min="3083" max="3083" width="15.85546875" customWidth="1"/>
    <col min="3084" max="3084" width="16.42578125" customWidth="1"/>
    <col min="3336" max="3336" width="21.5703125" customWidth="1"/>
    <col min="3337" max="3337" width="14.5703125" customWidth="1"/>
    <col min="3338" max="3338" width="12.85546875" customWidth="1"/>
    <col min="3339" max="3339" width="15.85546875" customWidth="1"/>
    <col min="3340" max="3340" width="16.42578125" customWidth="1"/>
    <col min="3592" max="3592" width="21.5703125" customWidth="1"/>
    <col min="3593" max="3593" width="14.5703125" customWidth="1"/>
    <col min="3594" max="3594" width="12.85546875" customWidth="1"/>
    <col min="3595" max="3595" width="15.85546875" customWidth="1"/>
    <col min="3596" max="3596" width="16.42578125" customWidth="1"/>
    <col min="3848" max="3848" width="21.5703125" customWidth="1"/>
    <col min="3849" max="3849" width="14.5703125" customWidth="1"/>
    <col min="3850" max="3850" width="12.85546875" customWidth="1"/>
    <col min="3851" max="3851" width="15.85546875" customWidth="1"/>
    <col min="3852" max="3852" width="16.42578125" customWidth="1"/>
    <col min="4104" max="4104" width="21.5703125" customWidth="1"/>
    <col min="4105" max="4105" width="14.5703125" customWidth="1"/>
    <col min="4106" max="4106" width="12.85546875" customWidth="1"/>
    <col min="4107" max="4107" width="15.85546875" customWidth="1"/>
    <col min="4108" max="4108" width="16.42578125" customWidth="1"/>
    <col min="4360" max="4360" width="21.5703125" customWidth="1"/>
    <col min="4361" max="4361" width="14.5703125" customWidth="1"/>
    <col min="4362" max="4362" width="12.85546875" customWidth="1"/>
    <col min="4363" max="4363" width="15.85546875" customWidth="1"/>
    <col min="4364" max="4364" width="16.42578125" customWidth="1"/>
    <col min="4616" max="4616" width="21.5703125" customWidth="1"/>
    <col min="4617" max="4617" width="14.5703125" customWidth="1"/>
    <col min="4618" max="4618" width="12.85546875" customWidth="1"/>
    <col min="4619" max="4619" width="15.85546875" customWidth="1"/>
    <col min="4620" max="4620" width="16.42578125" customWidth="1"/>
    <col min="4872" max="4872" width="21.5703125" customWidth="1"/>
    <col min="4873" max="4873" width="14.5703125" customWidth="1"/>
    <col min="4874" max="4874" width="12.85546875" customWidth="1"/>
    <col min="4875" max="4875" width="15.85546875" customWidth="1"/>
    <col min="4876" max="4876" width="16.42578125" customWidth="1"/>
    <col min="5128" max="5128" width="21.5703125" customWidth="1"/>
    <col min="5129" max="5129" width="14.5703125" customWidth="1"/>
    <col min="5130" max="5130" width="12.85546875" customWidth="1"/>
    <col min="5131" max="5131" width="15.85546875" customWidth="1"/>
    <col min="5132" max="5132" width="16.42578125" customWidth="1"/>
    <col min="5384" max="5384" width="21.5703125" customWidth="1"/>
    <col min="5385" max="5385" width="14.5703125" customWidth="1"/>
    <col min="5386" max="5386" width="12.85546875" customWidth="1"/>
    <col min="5387" max="5387" width="15.85546875" customWidth="1"/>
    <col min="5388" max="5388" width="16.42578125" customWidth="1"/>
    <col min="5640" max="5640" width="21.5703125" customWidth="1"/>
    <col min="5641" max="5641" width="14.5703125" customWidth="1"/>
    <col min="5642" max="5642" width="12.85546875" customWidth="1"/>
    <col min="5643" max="5643" width="15.85546875" customWidth="1"/>
    <col min="5644" max="5644" width="16.42578125" customWidth="1"/>
    <col min="5896" max="5896" width="21.5703125" customWidth="1"/>
    <col min="5897" max="5897" width="14.5703125" customWidth="1"/>
    <col min="5898" max="5898" width="12.85546875" customWidth="1"/>
    <col min="5899" max="5899" width="15.85546875" customWidth="1"/>
    <col min="5900" max="5900" width="16.42578125" customWidth="1"/>
    <col min="6152" max="6152" width="21.5703125" customWidth="1"/>
    <col min="6153" max="6153" width="14.5703125" customWidth="1"/>
    <col min="6154" max="6154" width="12.85546875" customWidth="1"/>
    <col min="6155" max="6155" width="15.85546875" customWidth="1"/>
    <col min="6156" max="6156" width="16.42578125" customWidth="1"/>
    <col min="6408" max="6408" width="21.5703125" customWidth="1"/>
    <col min="6409" max="6409" width="14.5703125" customWidth="1"/>
    <col min="6410" max="6410" width="12.85546875" customWidth="1"/>
    <col min="6411" max="6411" width="15.85546875" customWidth="1"/>
    <col min="6412" max="6412" width="16.42578125" customWidth="1"/>
    <col min="6664" max="6664" width="21.5703125" customWidth="1"/>
    <col min="6665" max="6665" width="14.5703125" customWidth="1"/>
    <col min="6666" max="6666" width="12.85546875" customWidth="1"/>
    <col min="6667" max="6667" width="15.85546875" customWidth="1"/>
    <col min="6668" max="6668" width="16.42578125" customWidth="1"/>
    <col min="6920" max="6920" width="21.5703125" customWidth="1"/>
    <col min="6921" max="6921" width="14.5703125" customWidth="1"/>
    <col min="6922" max="6922" width="12.85546875" customWidth="1"/>
    <col min="6923" max="6923" width="15.85546875" customWidth="1"/>
    <col min="6924" max="6924" width="16.42578125" customWidth="1"/>
    <col min="7176" max="7176" width="21.5703125" customWidth="1"/>
    <col min="7177" max="7177" width="14.5703125" customWidth="1"/>
    <col min="7178" max="7178" width="12.85546875" customWidth="1"/>
    <col min="7179" max="7179" width="15.85546875" customWidth="1"/>
    <col min="7180" max="7180" width="16.42578125" customWidth="1"/>
    <col min="7432" max="7432" width="21.5703125" customWidth="1"/>
    <col min="7433" max="7433" width="14.5703125" customWidth="1"/>
    <col min="7434" max="7434" width="12.85546875" customWidth="1"/>
    <col min="7435" max="7435" width="15.85546875" customWidth="1"/>
    <col min="7436" max="7436" width="16.42578125" customWidth="1"/>
    <col min="7688" max="7688" width="21.5703125" customWidth="1"/>
    <col min="7689" max="7689" width="14.5703125" customWidth="1"/>
    <col min="7690" max="7690" width="12.85546875" customWidth="1"/>
    <col min="7691" max="7691" width="15.85546875" customWidth="1"/>
    <col min="7692" max="7692" width="16.42578125" customWidth="1"/>
    <col min="7944" max="7944" width="21.5703125" customWidth="1"/>
    <col min="7945" max="7945" width="14.5703125" customWidth="1"/>
    <col min="7946" max="7946" width="12.85546875" customWidth="1"/>
    <col min="7947" max="7947" width="15.85546875" customWidth="1"/>
    <col min="7948" max="7948" width="16.42578125" customWidth="1"/>
    <col min="8200" max="8200" width="21.5703125" customWidth="1"/>
    <col min="8201" max="8201" width="14.5703125" customWidth="1"/>
    <col min="8202" max="8202" width="12.85546875" customWidth="1"/>
    <col min="8203" max="8203" width="15.85546875" customWidth="1"/>
    <col min="8204" max="8204" width="16.42578125" customWidth="1"/>
    <col min="8456" max="8456" width="21.5703125" customWidth="1"/>
    <col min="8457" max="8457" width="14.5703125" customWidth="1"/>
    <col min="8458" max="8458" width="12.85546875" customWidth="1"/>
    <col min="8459" max="8459" width="15.85546875" customWidth="1"/>
    <col min="8460" max="8460" width="16.42578125" customWidth="1"/>
    <col min="8712" max="8712" width="21.5703125" customWidth="1"/>
    <col min="8713" max="8713" width="14.5703125" customWidth="1"/>
    <col min="8714" max="8714" width="12.85546875" customWidth="1"/>
    <col min="8715" max="8715" width="15.85546875" customWidth="1"/>
    <col min="8716" max="8716" width="16.42578125" customWidth="1"/>
    <col min="8968" max="8968" width="21.5703125" customWidth="1"/>
    <col min="8969" max="8969" width="14.5703125" customWidth="1"/>
    <col min="8970" max="8970" width="12.85546875" customWidth="1"/>
    <col min="8971" max="8971" width="15.85546875" customWidth="1"/>
    <col min="8972" max="8972" width="16.42578125" customWidth="1"/>
    <col min="9224" max="9224" width="21.5703125" customWidth="1"/>
    <col min="9225" max="9225" width="14.5703125" customWidth="1"/>
    <col min="9226" max="9226" width="12.85546875" customWidth="1"/>
    <col min="9227" max="9227" width="15.85546875" customWidth="1"/>
    <col min="9228" max="9228" width="16.42578125" customWidth="1"/>
    <col min="9480" max="9480" width="21.5703125" customWidth="1"/>
    <col min="9481" max="9481" width="14.5703125" customWidth="1"/>
    <col min="9482" max="9482" width="12.85546875" customWidth="1"/>
    <col min="9483" max="9483" width="15.85546875" customWidth="1"/>
    <col min="9484" max="9484" width="16.42578125" customWidth="1"/>
    <col min="9736" max="9736" width="21.5703125" customWidth="1"/>
    <col min="9737" max="9737" width="14.5703125" customWidth="1"/>
    <col min="9738" max="9738" width="12.85546875" customWidth="1"/>
    <col min="9739" max="9739" width="15.85546875" customWidth="1"/>
    <col min="9740" max="9740" width="16.42578125" customWidth="1"/>
    <col min="9992" max="9992" width="21.5703125" customWidth="1"/>
    <col min="9993" max="9993" width="14.5703125" customWidth="1"/>
    <col min="9994" max="9994" width="12.85546875" customWidth="1"/>
    <col min="9995" max="9995" width="15.85546875" customWidth="1"/>
    <col min="9996" max="9996" width="16.42578125" customWidth="1"/>
    <col min="10248" max="10248" width="21.5703125" customWidth="1"/>
    <col min="10249" max="10249" width="14.5703125" customWidth="1"/>
    <col min="10250" max="10250" width="12.85546875" customWidth="1"/>
    <col min="10251" max="10251" width="15.85546875" customWidth="1"/>
    <col min="10252" max="10252" width="16.42578125" customWidth="1"/>
    <col min="10504" max="10504" width="21.5703125" customWidth="1"/>
    <col min="10505" max="10505" width="14.5703125" customWidth="1"/>
    <col min="10506" max="10506" width="12.85546875" customWidth="1"/>
    <col min="10507" max="10507" width="15.85546875" customWidth="1"/>
    <col min="10508" max="10508" width="16.42578125" customWidth="1"/>
    <col min="10760" max="10760" width="21.5703125" customWidth="1"/>
    <col min="10761" max="10761" width="14.5703125" customWidth="1"/>
    <col min="10762" max="10762" width="12.85546875" customWidth="1"/>
    <col min="10763" max="10763" width="15.85546875" customWidth="1"/>
    <col min="10764" max="10764" width="16.42578125" customWidth="1"/>
    <col min="11016" max="11016" width="21.5703125" customWidth="1"/>
    <col min="11017" max="11017" width="14.5703125" customWidth="1"/>
    <col min="11018" max="11018" width="12.85546875" customWidth="1"/>
    <col min="11019" max="11019" width="15.85546875" customWidth="1"/>
    <col min="11020" max="11020" width="16.42578125" customWidth="1"/>
    <col min="11272" max="11272" width="21.5703125" customWidth="1"/>
    <col min="11273" max="11273" width="14.5703125" customWidth="1"/>
    <col min="11274" max="11274" width="12.85546875" customWidth="1"/>
    <col min="11275" max="11275" width="15.85546875" customWidth="1"/>
    <col min="11276" max="11276" width="16.42578125" customWidth="1"/>
    <col min="11528" max="11528" width="21.5703125" customWidth="1"/>
    <col min="11529" max="11529" width="14.5703125" customWidth="1"/>
    <col min="11530" max="11530" width="12.85546875" customWidth="1"/>
    <col min="11531" max="11531" width="15.85546875" customWidth="1"/>
    <col min="11532" max="11532" width="16.42578125" customWidth="1"/>
    <col min="11784" max="11784" width="21.5703125" customWidth="1"/>
    <col min="11785" max="11785" width="14.5703125" customWidth="1"/>
    <col min="11786" max="11786" width="12.85546875" customWidth="1"/>
    <col min="11787" max="11787" width="15.85546875" customWidth="1"/>
    <col min="11788" max="11788" width="16.42578125" customWidth="1"/>
    <col min="12040" max="12040" width="21.5703125" customWidth="1"/>
    <col min="12041" max="12041" width="14.5703125" customWidth="1"/>
    <col min="12042" max="12042" width="12.85546875" customWidth="1"/>
    <col min="12043" max="12043" width="15.85546875" customWidth="1"/>
    <col min="12044" max="12044" width="16.42578125" customWidth="1"/>
    <col min="12296" max="12296" width="21.5703125" customWidth="1"/>
    <col min="12297" max="12297" width="14.5703125" customWidth="1"/>
    <col min="12298" max="12298" width="12.85546875" customWidth="1"/>
    <col min="12299" max="12299" width="15.85546875" customWidth="1"/>
    <col min="12300" max="12300" width="16.42578125" customWidth="1"/>
    <col min="12552" max="12552" width="21.5703125" customWidth="1"/>
    <col min="12553" max="12553" width="14.5703125" customWidth="1"/>
    <col min="12554" max="12554" width="12.85546875" customWidth="1"/>
    <col min="12555" max="12555" width="15.85546875" customWidth="1"/>
    <col min="12556" max="12556" width="16.42578125" customWidth="1"/>
    <col min="12808" max="12808" width="21.5703125" customWidth="1"/>
    <col min="12809" max="12809" width="14.5703125" customWidth="1"/>
    <col min="12810" max="12810" width="12.85546875" customWidth="1"/>
    <col min="12811" max="12811" width="15.85546875" customWidth="1"/>
    <col min="12812" max="12812" width="16.42578125" customWidth="1"/>
    <col min="13064" max="13064" width="21.5703125" customWidth="1"/>
    <col min="13065" max="13065" width="14.5703125" customWidth="1"/>
    <col min="13066" max="13066" width="12.85546875" customWidth="1"/>
    <col min="13067" max="13067" width="15.85546875" customWidth="1"/>
    <col min="13068" max="13068" width="16.42578125" customWidth="1"/>
    <col min="13320" max="13320" width="21.5703125" customWidth="1"/>
    <col min="13321" max="13321" width="14.5703125" customWidth="1"/>
    <col min="13322" max="13322" width="12.85546875" customWidth="1"/>
    <col min="13323" max="13323" width="15.85546875" customWidth="1"/>
    <col min="13324" max="13324" width="16.42578125" customWidth="1"/>
    <col min="13576" max="13576" width="21.5703125" customWidth="1"/>
    <col min="13577" max="13577" width="14.5703125" customWidth="1"/>
    <col min="13578" max="13578" width="12.85546875" customWidth="1"/>
    <col min="13579" max="13579" width="15.85546875" customWidth="1"/>
    <col min="13580" max="13580" width="16.42578125" customWidth="1"/>
    <col min="13832" max="13832" width="21.5703125" customWidth="1"/>
    <col min="13833" max="13833" width="14.5703125" customWidth="1"/>
    <col min="13834" max="13834" width="12.85546875" customWidth="1"/>
    <col min="13835" max="13835" width="15.85546875" customWidth="1"/>
    <col min="13836" max="13836" width="16.42578125" customWidth="1"/>
    <col min="14088" max="14088" width="21.5703125" customWidth="1"/>
    <col min="14089" max="14089" width="14.5703125" customWidth="1"/>
    <col min="14090" max="14090" width="12.85546875" customWidth="1"/>
    <col min="14091" max="14091" width="15.85546875" customWidth="1"/>
    <col min="14092" max="14092" width="16.42578125" customWidth="1"/>
    <col min="14344" max="14344" width="21.5703125" customWidth="1"/>
    <col min="14345" max="14345" width="14.5703125" customWidth="1"/>
    <col min="14346" max="14346" width="12.85546875" customWidth="1"/>
    <col min="14347" max="14347" width="15.85546875" customWidth="1"/>
    <col min="14348" max="14348" width="16.42578125" customWidth="1"/>
    <col min="14600" max="14600" width="21.5703125" customWidth="1"/>
    <col min="14601" max="14601" width="14.5703125" customWidth="1"/>
    <col min="14602" max="14602" width="12.85546875" customWidth="1"/>
    <col min="14603" max="14603" width="15.85546875" customWidth="1"/>
    <col min="14604" max="14604" width="16.42578125" customWidth="1"/>
    <col min="14856" max="14856" width="21.5703125" customWidth="1"/>
    <col min="14857" max="14857" width="14.5703125" customWidth="1"/>
    <col min="14858" max="14858" width="12.85546875" customWidth="1"/>
    <col min="14859" max="14859" width="15.85546875" customWidth="1"/>
    <col min="14860" max="14860" width="16.42578125" customWidth="1"/>
    <col min="15112" max="15112" width="21.5703125" customWidth="1"/>
    <col min="15113" max="15113" width="14.5703125" customWidth="1"/>
    <col min="15114" max="15114" width="12.85546875" customWidth="1"/>
    <col min="15115" max="15115" width="15.85546875" customWidth="1"/>
    <col min="15116" max="15116" width="16.42578125" customWidth="1"/>
    <col min="15368" max="15368" width="21.5703125" customWidth="1"/>
    <col min="15369" max="15369" width="14.5703125" customWidth="1"/>
    <col min="15370" max="15370" width="12.85546875" customWidth="1"/>
    <col min="15371" max="15371" width="15.85546875" customWidth="1"/>
    <col min="15372" max="15372" width="16.42578125" customWidth="1"/>
    <col min="15624" max="15624" width="21.5703125" customWidth="1"/>
    <col min="15625" max="15625" width="14.5703125" customWidth="1"/>
    <col min="15626" max="15626" width="12.85546875" customWidth="1"/>
    <col min="15627" max="15627" width="15.85546875" customWidth="1"/>
    <col min="15628" max="15628" width="16.42578125" customWidth="1"/>
    <col min="15880" max="15880" width="21.5703125" customWidth="1"/>
    <col min="15881" max="15881" width="14.5703125" customWidth="1"/>
    <col min="15882" max="15882" width="12.85546875" customWidth="1"/>
    <col min="15883" max="15883" width="15.85546875" customWidth="1"/>
    <col min="15884" max="15884" width="16.42578125" customWidth="1"/>
    <col min="16136" max="16136" width="21.5703125" customWidth="1"/>
    <col min="16137" max="16137" width="14.5703125" customWidth="1"/>
    <col min="16138" max="16138" width="12.85546875" customWidth="1"/>
    <col min="16139" max="16139" width="15.85546875" customWidth="1"/>
    <col min="16140" max="16140" width="16.42578125" customWidth="1"/>
  </cols>
  <sheetData>
    <row r="1" spans="1:13" x14ac:dyDescent="0.25">
      <c r="A1" s="257" t="s">
        <v>862</v>
      </c>
      <c r="B1" s="257" t="s">
        <v>863</v>
      </c>
      <c r="C1" s="258" t="s">
        <v>864</v>
      </c>
      <c r="D1" s="257" t="s">
        <v>865</v>
      </c>
      <c r="E1" s="288" t="s">
        <v>726</v>
      </c>
      <c r="F1" s="288" t="s">
        <v>15</v>
      </c>
      <c r="G1" s="288" t="s">
        <v>727</v>
      </c>
      <c r="H1" s="288" t="s">
        <v>728</v>
      </c>
      <c r="I1" s="288" t="s">
        <v>840</v>
      </c>
      <c r="J1" s="288" t="s">
        <v>1128</v>
      </c>
      <c r="K1" s="288" t="s">
        <v>1121</v>
      </c>
      <c r="L1" s="257" t="s">
        <v>866</v>
      </c>
      <c r="M1" s="257" t="s">
        <v>867</v>
      </c>
    </row>
    <row r="2" spans="1:13" x14ac:dyDescent="0.25">
      <c r="A2" s="293" t="s">
        <v>846</v>
      </c>
      <c r="B2" s="294">
        <v>2030116968.8900001</v>
      </c>
      <c r="C2" s="294">
        <f>B2/10000</f>
        <v>203011.69688900001</v>
      </c>
      <c r="D2" s="294">
        <f>1669523861/10000</f>
        <v>166952.3861</v>
      </c>
      <c r="E2" s="294">
        <f>ZI_BV!I280+ZI_BV!I306+ZI_BV!I335+ZI_BV!I348+ZI_BV!I397+ZI_BV!I403+ZI_BV!I425+ZI_BV!I443+ZI_BV!I503+ZI_BV!I511+ZI_BV!I515+ZI_BV!I516+ZI_BV!I519+ZI_BV!I521+ZI_BV!I524+ZI_BV!I525+ZI_BV!I540+ZI_BV!I548+ZI_BV!I574+ZI_BV!I575+ZI_BV!I592+(communesZI!H161+communesZI!H172+communesZI!H212)*10000</f>
        <v>21503373.980800737</v>
      </c>
      <c r="F2" s="294">
        <f>ZI_BV!I278+ZI_BV!I350+ZI_BV!I355+ZI_BV!I365+ZI_BV!I384+ZI_BV!I399+ZI_BV!I412+ZI_BV!I452+ZI_BV!I483+ZI_BV!I493+ZI_BV!I494+ZI_BV!I536+ZI_BV!I542+ZI_BV!I567+ZI_BV!I570+ZI_BV!I251+ZI_BV!I252+ZI_BV!I253+ZI_BV!I255+ZI_BV!I256+ZI_BV!I266+ZI_BV!I281+ZI_BV!I285+ZI_BV!I286+ZI_BV!I290+ZI_BV!I293+ZI_BV!I297+ZI_BV!I301+ZI_BV!I302+ZI_BV!I307+ZI_BV!I312+ZI_BV!I313+ZI_BV!I314+ZI_BV!I315+ZI_BV!I316+ZI_BV!I317+ZI_BV!I321+ZI_BV!I323+ZI_BV!I329+ZI_BV!I331+ZI_BV!I334+ZI_BV!I339+ZI_BV!I342+ZI_BV!I344+ZI_BV!I345+ZI_BV!I347+ZI_BV!I349+ZI_BV!I354+ZI_BV!I356+ZI_BV!I357+ZI_BV!I358+ZI_BV!I359+ZI_BV!I366+ZI_BV!I369+ZI_BV!I371+ZI_BV!I378+ZI_BV!I382+ZI_BV!I385+ZI_BV!I386+ZI_BV!I388+ZI_BV!I389+ZI_BV!I390+ZI_BV!I391+ZI_BV!I392+ZI_BV!I394+ZI_BV!I396+ZI_BV!I400+ZI_BV!I402+ZI_BV!I405+ZI_BV!I407+ZI_BV!I410+ZI_BV!I416+ZI_BV!I419+ZI_BV!I420+ZI_BV!I427+ZI_BV!I429+ZI_BV!I431+ZI_BV!I432+ZI_BV!I434+ZI_BV!I445+ZI_BV!I446+ZI_BV!I447+ZI_BV!I448+ZI_BV!I449+ZI_BV!I450+ZI_BV!I453+ZI_BV!I455+ZI_BV!I457+ZI_BV!I458+ZI_BV!I460+ZI_BV!I464+ZI_BV!I465+ZI_BV!I474+ZI_BV!I477+ZI_BV!I485+ZI_BV!I491+ZI_BV!I492+ZI_BV!I495+ZI_BV!I501+ZI_BV!I502+ZI_BV!I505+ZI_BV!I510+ZI_BV!I513+ZI_BV!I520+ZI_BV!I526+ZI_BV!I534+ZI_BV!I535+ZI_BV!I545+ZI_BV!I547+ZI_BV!I553+ZI_BV!I556+ZI_BV!I557+ZI_BV!I560+ZI_BV!I561+ZI_BV!I562+ZI_BV!I565+ZI_BV!I568+ZI_BV!I577+ZI_BV!I581+ZI_BV!I587+ZI_BV!I588+ZI_BV!I590-alea_gardon!G37*10000</f>
        <v>143062658.0835712</v>
      </c>
      <c r="G2" s="294">
        <f>ZI_BV!I254+ZI_BV!I257+ZI_BV!I258+ZI_BV!I260+ZI_BV!I261+ZI_BV!I263+ZI_BV!I267+ZI_BV!I269+ZI_BV!I270+ZI_BV!I271+ZI_BV!I272+ZI_BV!I275+ZI_BV!I276+ZI_BV!I283+ZI_BV!I288+ZI_BV!I289+ZI_BV!I291+ZI_BV!I299+ZI_BV!I300+ZI_BV!I303+ZI_BV!I309+ZI_BV!I311+ZI_BV!I318+ZI_BV!I320+ZI_BV!I322+ZI_BV!I326+ZI_BV!I327+ZI_BV!I328+ZI_BV!I343+ZI_BV!I346+ZI_BV!I351+ZI_BV!I360+ZI_BV!I362+ZI_BV!I367+ZI_BV!I372+ZI_BV!I373+ZI_BV!I377+ZI_BV!I381+ZI_BV!I387+ZI_BV!I395+ZI_BV!I408+ZI_BV!I411+ZI_BV!I413+ZI_BV!I418+ZI_BV!I423+ZI_BV!I428+ZI_BV!I439+ZI_BV!I440+ZI_BV!I442+ZI_BV!I444+ZI_BV!I451+ZI_BV!I454+ZI_BV!I456+ZI_BV!I459+ZI_BV!I461+ZI_BV!I462+ZI_BV!I466+ZI_BV!I467+ZI_BV!I469+ZI_BV!I470+ZI_BV!I471+ZI_BV!I476+ZI_BV!I481+ZI_BV!I482+ZI_BV!I488+ZI_BV!I489+ZI_BV!I497+ZI_BV!I499+ZI_BV!I504+ZI_BV!I506+ZI_BV!I508+ZI_BV!I509+ZI_BV!I514+ZI_BV!I518+ZI_BV!I522+ZI_BV!I530+ZI_BV!I531+ZI_BV!I538+ZI_BV!I539+ZI_BV!I541+ZI_BV!I544+ZI_BV!I546+ZI_BV!I549+ZI_BV!I555+ZI_BV!I566+ZI_BV!I572+ZI_BV!I576+ZI_BV!I580+ZI_BV!I582+ZI_BV!I583+ZI_BV!I585+ZI_BV!I589+ZI_BV!I591+alea_gardon!H37*10000</f>
        <v>45090562.884202063</v>
      </c>
      <c r="H2" s="294">
        <f>ZI_BV!I259+ZI_BV!I262+ZI_BV!I264+ZI_BV!I265+ZI_BV!I268+ZI_BV!I273+ZI_BV!I274+ZI_BV!I277+ZI_BV!I279+ZI_BV!I282+ZI_BV!I284+ZI_BV!I287+ZI_BV!I292+ZI_BV!I294+ZI_BV!I295+ZI_BV!I296+ZI_BV!I298+ZI_BV!I304+ZI_BV!I305+ZI_BV!I308+ZI_BV!I310+ZI_BV!I319+ZI_BV!I324+ZI_BV!I325+ZI_BV!I330+ZI_BV!I332+ZI_BV!I333+ZI_BV!I336+ZI_BV!I337+ZI_BV!I338+ZI_BV!I340+ZI_BV!I341+ZI_BV!I352+ZI_BV!I353+ZI_BV!I361+ZI_BV!I363+ZI_BV!I364+ZI_BV!I368+ZI_BV!I370+ZI_BV!I374+ZI_BV!I375+ZI_BV!I376+ZI_BV!I379+ZI_BV!I380+ZI_BV!I383+ZI_BV!I393+ZI_BV!I398+ZI_BV!I401+ZI_BV!I404+ZI_BV!I406+ZI_BV!I409+ZI_BV!I414+ZI_BV!I415+ZI_BV!I417+ZI_BV!I421+ZI_BV!I422+ZI_BV!I424+ZI_BV!I426+ZI_BV!I430+ZI_BV!I433+ZI_BV!I435+ZI_BV!I436+ZI_BV!I437+ZI_BV!I438+ZI_BV!I441+ZI_BV!I463+ZI_BV!I468+ZI_BV!I472+ZI_BV!I473+ZI_BV!I475+ZI_BV!I478+ZI_BV!I479+ZI_BV!I480+ZI_BV!I484+ZI_BV!I486+ZI_BV!I487+ZI_BV!I490+ZI_BV!I496+ZI_BV!I498+ZI_BV!I500+ZI_BV!I507+ZI_BV!I512+ZI_BV!I517+ZI_BV!I523+ZI_BV!I527+ZI_BV!I528+ZI_BV!I529+ZI_BV!I532+ZI_BV!I533+ZI_BV!I537+ZI_BV!I543+ZI_BV!I550+ZI_BV!I551+ZI_BV!I552+ZI_BV!I554+ZI_BV!I558+ZI_BV!I559+ZI_BV!I563+ZI_BV!I564+ZI_BV!I569+ZI_BV!I571+ZI_BV!I573+ZI_BV!I578+ZI_BV!I579+ZI_BV!I584+ZI_BV!I586+ZI_BV!I593+ZI_BV!I594+ZI_BV!I595</f>
        <v>59096819.719238207</v>
      </c>
      <c r="I2" s="294"/>
      <c r="J2" s="294"/>
      <c r="K2" s="294">
        <f>E2+F2+G2+H2+I2+J2</f>
        <v>268753414.66781223</v>
      </c>
      <c r="L2" s="294">
        <f t="shared" ref="L2:L5" si="0">K2/10000</f>
        <v>26875.341466781221</v>
      </c>
      <c r="M2" s="295">
        <f t="shared" ref="M2:M11" si="1">L2/D2</f>
        <v>0.16097608482626666</v>
      </c>
    </row>
    <row r="3" spans="1:13" x14ac:dyDescent="0.25">
      <c r="A3" s="293" t="s">
        <v>765</v>
      </c>
      <c r="B3" s="294">
        <v>1361668880.9100001</v>
      </c>
      <c r="C3" s="294">
        <f t="shared" ref="C3:C11" si="2">B3/10000</f>
        <v>136166.888091</v>
      </c>
      <c r="D3" s="294">
        <f>1142901667/10000</f>
        <v>114290.1667</v>
      </c>
      <c r="E3" s="294">
        <f>ZI_BV!I92+ZI_BV!I100+ZI_BV!I121+ZI_BV!I126+ZI_BV!I132+ZI_BV!I188+ZI_BV!I191+ZI_BV!I250</f>
        <v>2470685.1005859366</v>
      </c>
      <c r="F3" s="294">
        <f>ZI_BV!I18+ZI_BV!I19+ZI_BV!I22+ZI_BV!I23+ZI_BV!I25+ZI_BV!I28+ZI_BV!I29+ZI_BV!I31+ZI_BV!I34+ZI_BV!I38+ZI_BV!I40+ZI_BV!I41+ZI_BV!I45+ZI_BV!I47+ZI_BV!I48+ZI_BV!I51+ZI_BV!I52+ZI_BV!I53+ZI_BV!I54+ZI_BV!I55+ZI_BV!I58+ZI_BV!I61+ZI_BV!I68+ZI_BV!I70+ZI_BV!I71+ZI_BV!I73+ZI_BV!I76+ZI_BV!I81+ZI_BV!I82+ZI_BV!I83+ZI_BV!I84+ZI_BV!I85+ZI_BV!I93+ZI_BV!I96+ZI_BV!I97+ZI_BV!I99+ZI_BV!I103+ZI_BV!I104+ZI_BV!I106+ZI_BV!I108+ZI_BV!I109+ZI_BV!I111+ZI_BV!I114+ZI_BV!I117+ZI_BV!I119+ZI_BV!I124+ZI_BV!I128+ZI_BV!I133+ZI_BV!I136+ZI_BV!I141+ZI_BV!I146+ZI_BV!I148+ZI_BV!I149+ZI_BV!I150+ZI_BV!I154+ZI_BV!I164+ZI_BV!I167+ZI_BV!I171+ZI_BV!I176+ZI_BV!I179+ZI_BV!I180+ZI_BV!I187+ZI_BV!I192+ZI_BV!I199+ZI_BV!I205+ZI_BV!I212+ZI_BV!I214+ZI_BV!I215+ZI_BV!I218+ZI_BV!I228+ZI_BV!I230+ZI_BV!I232+ZI_BV!I235+ZI_BV!I238+ZI_BV!I242+ZI_BV!I248+ZI_BV!I249+ZI_BV!I72</f>
        <v>80686508.656249881</v>
      </c>
      <c r="G3" s="294">
        <f>ZI_BV!I20+ZI_BV!I26+ZI_BV!I35+ZI_BV!I36+ZI_BV!I42+ZI_BV!I44+ZI_BV!I46+ZI_BV!I50+ZI_BV!I59+ZI_BV!I60+ZI_BV!I63+ZI_BV!I64+ZI_BV!I65+ZI_BV!I66+ZI_BV!I67+ZI_BV!I69+ZI_BV!I77+ZI_BV!I79+ZI_BV!I89+ZI_BV!I90+ZI_BV!I91+ZI_BV!I102+ZI_BV!I105+ZI_BV!I107+ZI_BV!I113+ZI_BV!I116+ZI_BV!I118+ZI_BV!I125+ZI_BV!I138+ZI_BV!I139+ZI_BV!I140+ZI_BV!I142+ZI_BV!I143+ZI_BV!I144+ZI_BV!I145+ZI_BV!I147+ZI_BV!I152+ZI_BV!I153+ZI_BV!I159+ZI_BV!I162+ZI_BV!I165+ZI_BV!I166+ZI_BV!I168+ZI_BV!I169+ZI_BV!I174+ZI_BV!I181+ZI_BV!I183+ZI_BV!I184+ZI_BV!I185+ZI_BV!I189+ZI_BV!I190+ZI_BV!I194+ZI_BV!I195+ZI_BV!I198+ZI_BV!I204+ZI_BV!I206+ZI_BV!I207+ZI_BV!I209+ZI_BV!I210+ZI_BV!I211+ZI_BV!I216+ZI_BV!I217+ZI_BV!I219+ZI_BV!I221+ZI_BV!I222+ZI_BV!I224+ZI_BV!I225+ZI_BV!I231+ZI_BV!I233+ZI_BV!I237+ZI_BV!I241+ZI_BV!I244+ZI_BV!I245</f>
        <v>17181214.152343713</v>
      </c>
      <c r="H3" s="294">
        <f>ZI_BV!I21+ZI_BV!I24+ZI_BV!I27+ZI_BV!I30+ZI_BV!I32+ZI_BV!I33+ZI_BV!I37+ZI_BV!I39+ZI_BV!I43+ZI_BV!I49+ZI_BV!I56+ZI_BV!I57+ZI_BV!I62+ZI_BV!I74+ZI_BV!I75+ZI_BV!I78+ZI_BV!I80+ZI_BV!I86+ZI_BV!I87+ZI_BV!I88+ZI_BV!I94+ZI_BV!I95+ZI_BV!I98+ZI_BV!I101+ZI_BV!I110+ZI_BV!I112+ZI_BV!I115+ZI_BV!I120+ZI_BV!I122+ZI_BV!I123+ZI_BV!I127+ZI_BV!I129+ZI_BV!I130+ZI_BV!I131+ZI_BV!I134+ZI_BV!I135+ZI_BV!I137+ZI_BV!I151+ZI_BV!I155+ZI_BV!I156+ZI_BV!I157+ZI_BV!I158+ZI_BV!I160+ZI_BV!I161+ZI_BV!I163+ZI_BV!I170+ZI_BV!I172+ZI_BV!I173+ZI_BV!I175+ZI_BV!I177+ZI_BV!I178+ZI_BV!I182+ZI_BV!I186+ZI_BV!I193+ZI_BV!I196+ZI_BV!I197+ZI_BV!I200+ZI_BV!I201+ZI_BV!I202+ZI_BV!I203+ZI_BV!I208+ZI_BV!I213+ZI_BV!I220+ZI_BV!I223+ZI_BV!I226+ZI_BV!I227+ZI_BV!I229+ZI_BV!I234+ZI_BV!I236+ZI_BV!I239+ZI_BV!I240+ZI_BV!I243+ZI_BV!I246+ZI_BV!I247</f>
        <v>19519091.792480439</v>
      </c>
      <c r="I3" s="294"/>
      <c r="J3" s="294"/>
      <c r="K3" s="294">
        <f t="shared" ref="K3:K9" si="3">E3+F3+G3+H3+I3+J3</f>
        <v>119857499.70165998</v>
      </c>
      <c r="L3" s="294">
        <f t="shared" si="0"/>
        <v>11985.749970165998</v>
      </c>
      <c r="M3" s="295">
        <f t="shared" si="1"/>
        <v>0.10487122660016207</v>
      </c>
    </row>
    <row r="4" spans="1:13" x14ac:dyDescent="0.25">
      <c r="A4" s="293" t="s">
        <v>868</v>
      </c>
      <c r="B4" s="294">
        <f>161400955.818+1626419598.84+100427173.001+237240644.377</f>
        <v>2125488372.036</v>
      </c>
      <c r="C4" s="294">
        <f t="shared" si="2"/>
        <v>212548.83720360001</v>
      </c>
      <c r="D4" s="294">
        <f>(97484+712460885+59966433+237240644.377)/10000</f>
        <v>100976.5446377</v>
      </c>
      <c r="E4" s="294">
        <f>ZI_BV!I597+ZI_BV!I603+ZI_BV!I606+ZI_BV!I613+ZI_BV!I618+ZI_BV!I620+ZI_BV!I625+ZI_BV!I663+ZI_BV!I666+ZI_BV!I678+ZI_BV!I681+ZI_BV!I682+ZI_BV!I683+ZI_BV!I686+ZI_BV!I687+ZI_BV!I689+ZI_BV!I698+ZI_BV!I706+ZI_BV!I707+ZI_BV!I708+ZI_BV!I999</f>
        <v>43026154.564941332</v>
      </c>
      <c r="F4" s="294">
        <f>ZI_BV!I16+ZI_BV!I596+ZI_BV!I599+ZI_BV!I604+ZI_BV!I605+ZI_BV!I610+ZI_BV!I611+ZI_BV!I612+ZI_BV!I616+ZI_BV!I617+ZI_BV!I619+ZI_BV!I621+ZI_BV!I624+ZI_BV!I629+ZI_BV!I631+ZI_BV!I632+ZI_BV!I637+ZI_BV!I640+ZI_BV!I642+ZI_BV!I650+ZI_BV!I652+ZI_BV!I653+ZI_BV!I654+ZI_BV!I655+ZI_BV!I660+ZI_BV!I662+ZI_BV!I671+ZI_BV!I673+ZI_BV!I676+ZI_BV!I680+ZI_BV!I684+ZI_BV!I688+ZI_BV!I685+ZI_BV!I691+ZI_BV!I692+ZI_BV!I693+ZI_BV!I699+ZI_BV!I1004+ZI_BV!I1007+ZI_BV!I1008+ZI_BV!I1010+ZI_BV!I997</f>
        <v>462367831.50634712</v>
      </c>
      <c r="G4" s="294">
        <f>ZI_BV!I17+ZI_BV!I598+ZI_BV!I601+ZI_BV!I602+ZI_BV!I607+ZI_BV!I609+ZI_BV!I614+ZI_BV!I615+ZI_BV!I622+ZI_BV!I623+ZI_BV!I626+ZI_BV!I627+ZI_BV!I630+ZI_BV!I633+ZI_BV!I634+ZI_BV!I636+ZI_BV!I639+ZI_BV!I641+ZI_BV!I645+ZI_BV!I648+ZI_BV!I651+ZI_BV!I656+ZI_BV!I657+ZI_BV!I659+ZI_BV!I661+ZI_BV!I664+ZI_BV!I674+ZI_BV!I675+ZI_BV!I679+ZI_BV!I696+ZI_BV!I697+ZI_BV!I703+ZI_BV!I705+ZI_BV!I1001+ZI_BV!I1002+ZI_BV!I1003+ZI_BV!I1006+ZI_BV!I996</f>
        <v>31340318.449706987</v>
      </c>
      <c r="H4" s="294">
        <f>ZI_BV!I600+ZI_BV!I608+ZI_BV!I628+ZI_BV!I635+ZI_BV!I638+ZI_BV!I643+ZI_BV!I644+ZI_BV!I646+ZI_BV!I647+ZI_BV!I649+ZI_BV!I658+ZI_BV!I665+ZI_BV!I667+ZI_BV!I668+ZI_BV!I669+ZI_BV!I670+ZI_BV!I672+ZI_BV!I677+ZI_BV!I690+ZI_BV!I694+ZI_BV!I695+ZI_BV!I700+ZI_BV!I701+ZI_BV!I702+ZI_BV!I704+ZI_BV!I1000+ZI_BV!I1005+ZI_BV!I1009+ZI_BV!I998</f>
        <v>18184920.58349606</v>
      </c>
      <c r="I4" s="294"/>
      <c r="J4" s="294">
        <f>ZI_BV!I1011</f>
        <v>1834687.0815429599</v>
      </c>
      <c r="K4" s="294">
        <f>E4+F4+G4+H4+I4+J4</f>
        <v>556753912.18603444</v>
      </c>
      <c r="L4" s="294">
        <f t="shared" si="0"/>
        <v>55675.391218603443</v>
      </c>
      <c r="M4" s="299">
        <f t="shared" si="1"/>
        <v>0.55136954248498626</v>
      </c>
    </row>
    <row r="5" spans="1:13" x14ac:dyDescent="0.25">
      <c r="A5" s="293" t="s">
        <v>760</v>
      </c>
      <c r="B5" s="294">
        <v>1094953767.27</v>
      </c>
      <c r="C5" s="294">
        <f t="shared" si="2"/>
        <v>109495.376727</v>
      </c>
      <c r="D5" s="294">
        <v>12105.6564514</v>
      </c>
      <c r="E5" s="294">
        <f>ZI_BV!I2+ZI_BV!I3+ZI_BV!I4+ZI_BV!I5+ZI_BV!I6+ZI_BV!I7+ZI_BV!I8+ZI_BV!I9+ZI_BV!I10+ZI_BV!I12+ZI_BV!I13+ZI_BV!I14</f>
        <v>9894595.317871077</v>
      </c>
      <c r="F5" s="294">
        <f>ZI_BV!I11</f>
        <v>1260674.25146484</v>
      </c>
      <c r="G5" s="294">
        <f>ZI_BV!I15</f>
        <v>35265.8544921875</v>
      </c>
      <c r="H5" s="294">
        <v>0</v>
      </c>
      <c r="I5" s="294"/>
      <c r="J5" s="294"/>
      <c r="K5" s="294">
        <f>E5+F5+G5+H5+I5+J5</f>
        <v>11190535.423828105</v>
      </c>
      <c r="L5" s="294">
        <f t="shared" si="0"/>
        <v>1119.0535423828105</v>
      </c>
      <c r="M5" s="295">
        <f t="shared" si="1"/>
        <v>9.2440550157310453E-2</v>
      </c>
    </row>
    <row r="6" spans="1:13" x14ac:dyDescent="0.25">
      <c r="A6" s="293" t="s">
        <v>1125</v>
      </c>
      <c r="B6" s="294">
        <v>788833825.18900001</v>
      </c>
      <c r="C6" s="294">
        <f t="shared" ref="C6:C7" si="4">B6/10000</f>
        <v>78883.382518900005</v>
      </c>
      <c r="D6" s="294">
        <f>613407030.488/10000</f>
        <v>61340.703048800002</v>
      </c>
      <c r="E6" s="294">
        <f>ZI_BV!I755+ZI_BV!I757+ZI_BV!I762+ZI_BV!I769+ZI_BV!I772+ZI_BV!I786+ZI_BV!I792+ZI_BV!I796+ZI_BV!I804+ZI_BV!I806+ZI_BV!I810+ZI_BV!I814+ZI_BV!I815+ZI_BV!I822+ZI_BV!I824+ZI_BV!I825+ZI_BV!I828+ZI_BV!I831+ZI_BV!I835+ZI_BV!I839+ZI_BV!I842+ZI_BV!I843+ZI_BV!I845+ZI_BV!I846+ZI_BV!I848+ZI_BV!I854+ZI_BV!I855+ZI_BV!I856+ZI_BV!I857+ZI_BV!I862+ZI_BV!I863+ZI_BV!I864+ZI_BV!I865+(communesZI!H145+communesZI!H104)*10000</f>
        <v>33197501.73990231</v>
      </c>
      <c r="F6" s="294">
        <f>ZI_BV!I760+ZI_BV!I765+ZI_BV!I767+ZI_BV!I771+ZI_BV!I775+ZI_BV!I777+ZI_BV!I781+ZI_BV!I782+ZI_BV!I787+ZI_BV!I788+ZI_BV!I789+ZI_BV!I790+ZI_BV!I793+ZI_BV!I795+ZI_BV!I802+ZI_BV!I803+ZI_BV!I807+ZI_BV!I808+ZI_BV!I819+ZI_BV!I821+ZI_BV!I823+ZI_BV!I827+ZI_BV!I833+ZI_BV!I847+ZI_BV!I850+ZI_BV!I853+ZI_BV!I860+ZI_BV!I861</f>
        <v>35230958.499511667</v>
      </c>
      <c r="G6" s="294">
        <f>ZI_BV!I758+ZI_BV!I768+ZI_BV!I770+ZI_BV!I773+ZI_BV!I774+ZI_BV!I776+ZI_BV!I778+ZI_BV!I779+ZI_BV!I780+ZI_BV!I797+ZI_BV!I799+ZI_BV!I800+ZI_BV!I809+ZI_BV!I816+ZI_BV!I826+ZI_BV!I829+ZI_BV!I841+ZI_BV!I844+ZI_BV!I849+ZI_BV!I852+ZI_BV!I867+ZI_BV!I866</f>
        <v>1461793.737304687</v>
      </c>
      <c r="H6" s="294">
        <f>ZI_BV!I753+ZI_BV!I754+ZI_BV!I756+ZI_BV!I759+ZI_BV!I761+ZI_BV!I763+ZI_BV!I764+ZI_BV!I766+ZI_BV!I783+ZI_BV!I784+ZI_BV!I785+ZI_BV!I791+ZI_BV!I794+ZI_BV!I798+ZI_BV!I801+ZI_BV!I805+ZI_BV!I811+ZI_BV!I812+ZI_BV!I813+ZI_BV!I817+ZI_BV!I818+ZI_BV!I830+ZI_BV!I832+ZI_BV!I834+ZI_BV!I836+ZI_BV!I837+ZI_BV!I838+ZI_BV!I840+ZI_BV!I851+ZI_BV!I858+ZI_BV!I859</f>
        <v>7931477.0776367029</v>
      </c>
      <c r="I6" s="294"/>
      <c r="J6" s="294">
        <f>ZI_BV!I820</f>
        <v>182339.640625</v>
      </c>
      <c r="K6" s="294">
        <f>E6+F6+G6+H6+I6+J6</f>
        <v>78004070.694980368</v>
      </c>
      <c r="L6" s="294">
        <f>K6/10000</f>
        <v>7800.4070694980364</v>
      </c>
      <c r="M6" s="295">
        <f>L6/D6</f>
        <v>0.12716527007022355</v>
      </c>
    </row>
    <row r="7" spans="1:13" x14ac:dyDescent="0.25">
      <c r="A7" s="293" t="s">
        <v>870</v>
      </c>
      <c r="B7" s="294">
        <v>704565594.96200001</v>
      </c>
      <c r="C7" s="296">
        <f t="shared" si="4"/>
        <v>70456.559496200003</v>
      </c>
      <c r="D7" s="294">
        <f>703192626.823/10000</f>
        <v>70319.262682299988</v>
      </c>
      <c r="E7" s="294">
        <f>ZI_BV_inond!D165+ZI_BV_inond!D167+ZI_BV_inond!D169+ZI_BV_inond!D175+ZI_BV_inond!D183+ZI_BV_inond!D186+ZI_BV_inond!D200+ZI_BV_inond!D208+ZI_BV_inond!D212+ZI_BV_inond!D220+ZI_BV_inond!D222+ZI_BV_inond!D226+ZI_BV_inond!D232+ZI_BV_inond!D233+ZI_BV_inond!D240+ZI_BV_inond!D242+ZI_BV_inond!D243+ZI_BV_inond!D246+ZI_BV_inond!D249+ZI_BV_inond!D253+ZI_BV_inond!D257+ZI_BV_inond!D260+ZI_BV_inond!D261+ZI_BV_inond!D263+ZI_BV_inond!D264+ZI_BV_inond!D266+ZI_BV_inond!D272+ZI_BV_inond!D273+ZI_BV_inond!D274+ZI_BV_inond!D275+ZI_BV_inond!D280+ZI_BV_inond!D281+ZI_BV_inond!D282+ZI_BV_inond!D283+(communesZI!H145+communesZI!H104)*10000</f>
        <v>42740602.769199178</v>
      </c>
      <c r="F7" s="294">
        <f>ZI_BV_inond!D172+ZI_BV_inond!D178+ZI_BV_inond!D181+ZI_BV_inond!D185+ZI_BV_inond!D189+ZI_BV_inond!D191+ZI_BV_inond!D195+ZI_BV_inond!D196+ZI_BV_inond!D201+ZI_BV_inond!D202+ZI_BV_inond!D203+ZI_BV_inond!D204+ZI_BV_inond!D209+ZI_BV_inond!D211+ZI_BV_inond!D218+ZI_BV_inond!D219+ZI_BV_inond!D223+ZI_BV_inond!D224+ZI_BV_inond!D229+ZI_BV_inond!D237+ZI_BV_inond!D239+ZI_BV_inond!D241+ZI_BV_inond!D245+ZI_BV_inond!D251+ZI_BV_inond!D265+ZI_BV_inond!D268+ZI_BV_inond!D271+ZI_BV_inond!D278+ZI_BV_inond!D279</f>
        <v>98871102.639648199</v>
      </c>
      <c r="G7" s="294">
        <f>ZI_BV_inond!D170+ZI_BV_inond!D180+ZI_BV_inond!D182+ZI_BV_inond!D184+ZI_BV_inond!D187+ZI_BV_inond!D188+ZI_BV_inond!D190+ZI_BV_inond!D192+ZI_BV_inond!D193+ZI_BV_inond!D194+ZI_BV_inond!D206+ZI_BV_inond!D207+ZI_BV_inond!D213+ZI_BV_inond!D215+ZI_BV_inond!D216+ZI_BV_inond!D225+ZI_BV_inond!D234+ZI_BV_inond!D244+ZI_BV_inond!D247+ZI_BV_inond!D259+ZI_BV_inond!D262+ZI_BV_inond!D267+ZI_BV_inond!D270+ZI_BV_inond!D284+ZI_BV_inond!D285</f>
        <v>9149148.017089827</v>
      </c>
      <c r="H7" s="294">
        <f>ZI_BV_inond!D163+ZI_BV_inond!D164+ZI_BV_inond!D166+ZI_BV_inond!D168+ZI_BV_inond!D171+ZI_BV_inond!D173+ZI_BV_inond!D174+ZI_BV_inond!D176+ZI_BV_inond!D177+ZI_BV_inond!D179+ZI_BV_inond!D197+ZI_BV_inond!D198+ZI_BV_inond!D199+ZI_BV_inond!D205+ZI_BV_inond!D210+ZI_BV_inond!D214+ZI_BV_inond!D217+ZI_BV_inond!D221+ZI_BV_inond!D227+ZI_BV_inond!D228+ZI_BV_inond!D230+ZI_BV_inond!D231+ZI_BV_inond!D235+ZI_BV_inond!D236+ZI_BV_inond!D248+ZI_BV_inond!D250+ZI_BV_inond!D252+ZI_BV_inond!D254+ZI_BV_inond!D255+ZI_BV_inond!D256+ZI_BV_inond!D258+ZI_BV_inond!D269+ZI_BV_inond!D276+ZI_BV_inond!D277</f>
        <v>13094810.688476533</v>
      </c>
      <c r="I7" s="294"/>
      <c r="J7" s="294">
        <f>ZI_BV_inond!D238</f>
        <v>175213.52587890599</v>
      </c>
      <c r="K7" s="294">
        <f>E7+F7+G7+H7+I7+J7</f>
        <v>164030877.64029264</v>
      </c>
      <c r="L7" s="294">
        <f t="shared" ref="L7:L12" si="5">K7/10000</f>
        <v>16403.087764029264</v>
      </c>
      <c r="M7" s="295">
        <f t="shared" si="1"/>
        <v>0.23326592370767382</v>
      </c>
    </row>
    <row r="8" spans="1:13" x14ac:dyDescent="0.25">
      <c r="A8" s="293" t="s">
        <v>766</v>
      </c>
      <c r="B8" s="294">
        <v>2196938344.7199998</v>
      </c>
      <c r="C8" s="294">
        <f t="shared" si="2"/>
        <v>219693.83447199999</v>
      </c>
      <c r="D8" s="294">
        <f>565030124.143/10000</f>
        <v>56503.012414299999</v>
      </c>
      <c r="E8" s="294">
        <f>ZI_BV!I722+ZI_BV!I723+ZI_BV!I724+ZI_BV!I725+ZI_BV!I726+ZI_BV!I727+ZI_BV!I728+ZI_BV!I729+ZI_BV!I730+ZI_BV!I731+ZI_BV!I732+ZI_BV!I735+ZI_BV!I736+ZI_BV!I738+ZI_BV!I739+ZI_BV!I740+ZI_BV!I741+ZI_BV!I742+ZI_BV!I743+ZI_BV!I744+ZI_BV!I745+ZI_BV!I746+ZI_BV!I747+ZI_BV!I748+ZI_BV!I749+ZI_BV!I750+ZI_BV!I751+ZI_BV!I752</f>
        <v>17166824.087402329</v>
      </c>
      <c r="F8" s="294">
        <f>ZI_BV!I737</f>
        <v>2162555.45214843</v>
      </c>
      <c r="G8" s="294">
        <f>ZI_BV!I734</f>
        <v>42844.6025390625</v>
      </c>
      <c r="H8" s="294">
        <f>ZI_BV!I733</f>
        <v>564373.13916015602</v>
      </c>
      <c r="I8" s="294"/>
      <c r="J8" s="294"/>
      <c r="K8" s="294">
        <f>E8+F8+G8+H8+I8+J8</f>
        <v>19936597.281249978</v>
      </c>
      <c r="L8" s="294">
        <f t="shared" si="5"/>
        <v>1993.6597281249979</v>
      </c>
      <c r="M8" s="295">
        <f t="shared" si="1"/>
        <v>3.5284131640748319E-2</v>
      </c>
    </row>
    <row r="9" spans="1:13" x14ac:dyDescent="0.25">
      <c r="A9" s="293" t="s">
        <v>869</v>
      </c>
      <c r="B9" s="294">
        <v>567778170.57000005</v>
      </c>
      <c r="C9" s="294">
        <f t="shared" si="2"/>
        <v>56777.817057000007</v>
      </c>
      <c r="D9" s="294">
        <f>220664597/10000</f>
        <v>22066.459699999999</v>
      </c>
      <c r="E9" s="294">
        <f>ZI_BV!I709+ZI_BV!I710+ZI_BV!I711+ZI_BV!I712+ZI_BV!I713+ZI_BV!I714+ZI_BV!I715+ZI_BV!I717+ZI_BV!I718+ZI_BV!I719+ZI_BV!I720+ZI_BV!I721</f>
        <v>5406913.3637695257</v>
      </c>
      <c r="F9" s="294">
        <f>ZI_BV!I716</f>
        <v>225102.046875</v>
      </c>
      <c r="G9" s="294">
        <v>0</v>
      </c>
      <c r="H9" s="294">
        <v>0</v>
      </c>
      <c r="I9" s="294"/>
      <c r="J9" s="294"/>
      <c r="K9" s="294">
        <f t="shared" si="3"/>
        <v>5632015.4106445257</v>
      </c>
      <c r="L9" s="294">
        <f t="shared" si="5"/>
        <v>563.20154106445261</v>
      </c>
      <c r="M9" s="295">
        <f t="shared" si="1"/>
        <v>2.5522967830877402E-2</v>
      </c>
    </row>
    <row r="10" spans="1:13" x14ac:dyDescent="0.25">
      <c r="A10" s="293" t="s">
        <v>1127</v>
      </c>
      <c r="B10" s="294">
        <v>601743106.97000003</v>
      </c>
      <c r="C10" s="294">
        <f t="shared" si="2"/>
        <v>60174.310697000001</v>
      </c>
      <c r="D10" s="294">
        <f>C10</f>
        <v>60174.310697000001</v>
      </c>
      <c r="E10" s="294">
        <f>ZI_BV!I869+ZI_BV!I980</f>
        <v>18686833.001953039</v>
      </c>
      <c r="F10" s="294">
        <f>ZI_BV!I881+ZI_BV!I886+ZI_BV!I902+ZI_BV!I905+ZI_BV!I940+ZI_BV!I971+ZI_BV!I993+ZI_BV!I871+ZI_BV!I873+ZI_BV!I875+ZI_BV!I876+ZI_BV!I878+ZI_BV!I879+ZI_BV!I887+ZI_BV!I889+ZI_BV!I899+ZI_BV!I901+ZI_BV!I904+ZI_BV!I907+ZI_BV!I915+ZI_BV!I916+ZI_BV!I918+ZI_BV!I919+ZI_BV!I923+ZI_BV!I924+ZI_BV!I927+ZI_BV!I928+ZI_BV!I933+ZI_BV!I935+ZI_BV!I939+ZI_BV!I942+ZI_BV!I943+ZI_BV!I945+ZI_BV!I946+ZI_BV!I949+ZI_BV!I950+ZI_BV!I955+ZI_BV!I960+ZI_BV!I964+ZI_BV!I970+ZI_BV!I973+ZI_BV!I975+ZI_BV!I977+ZI_BV!I979+ZI_BV!I983+ZI_BV!I994+ZI_BV!I995</f>
        <v>123823666.45068339</v>
      </c>
      <c r="G10" s="294">
        <f>ZI_BV!I877+ZI_BV!I880+ZI_BV!I882+ZI_BV!I884+ZI_BV!I891+ZI_BV!I894+ZI_BV!I896+ZI_BV!I898+ZI_BV!I900+ZI_BV!I903+ZI_BV!I906+ZI_BV!I909+ZI_BV!I910+ZI_BV!I913+ZI_BV!I917+ZI_BV!I921+ZI_BV!I925+ZI_BV!I934+ZI_BV!I936+ZI_BV!I937+ZI_BV!I938+ZI_BV!I941+ZI_BV!I944+ZI_BV!I951+ZI_BV!I953+ZI_BV!I958+ZI_BV!I959+ZI_BV!I965+ZI_BV!I966+ZI_BV!I967+ZI_BV!I968+ZI_BV!I969+ZI_BV!I978+ZI_BV!I984+ZI_BV!I985+ZI_BV!I987+ZI_BV!I991+ZI_BV!I992</f>
        <v>65670826.029785067</v>
      </c>
      <c r="H10" s="294">
        <f>ZI_BV!I868+ZI_BV!I870+ZI_BV!I872+ZI_BV!I874+ZI_BV!I883+ZI_BV!I885+ZI_BV!I888+ZI_BV!I890+ZI_BV!I892+ZI_BV!I893+ZI_BV!I895+ZI_BV!I897+ZI_BV!I908+ZI_BV!I911+ZI_BV!I912+ZI_BV!I914+ZI_BV!I920+ZI_BV!I922+ZI_BV!I926+ZI_BV!I929+ZI_BV!I930+ZI_BV!I931+ZI_BV!I932+ZI_BV!I947+ZI_BV!I948+ZI_BV!I952+ZI_BV!I954+ZI_BV!I956+ZI_BV!I957+ZI_BV!I961+ZI_BV!I962+ZI_BV!I963+ZI_BV!I974+ZI_BV!I976+ZI_BV!I981+ZI_BV!I982+ZI_BV!I986+ZI_BV!I988+ZI_BV!I990</f>
        <v>38716033.023437455</v>
      </c>
      <c r="I10" s="294">
        <f>ZI_BV!I989</f>
        <v>828072.83984375</v>
      </c>
      <c r="J10" s="294">
        <f>ZI_BV!I972</f>
        <v>4275.814453125</v>
      </c>
      <c r="K10" s="294">
        <f>E10+F10+G10+H10+I10+J10</f>
        <v>247729707.16015583</v>
      </c>
      <c r="L10" s="294">
        <f t="shared" si="5"/>
        <v>24772.970716015585</v>
      </c>
      <c r="M10" s="295">
        <f>L10/D10</f>
        <v>0.4116868216531252</v>
      </c>
    </row>
    <row r="11" spans="1:13" x14ac:dyDescent="0.25">
      <c r="A11" s="293" t="s">
        <v>1126</v>
      </c>
      <c r="B11" s="294">
        <v>768665405.68456995</v>
      </c>
      <c r="C11" s="294">
        <f t="shared" si="2"/>
        <v>76866.540568457</v>
      </c>
      <c r="D11" s="294">
        <f>C11</f>
        <v>76866.540568457</v>
      </c>
      <c r="E11" s="294">
        <f>ZI_BV_inond!D27+ZI_BV_inond!D143</f>
        <v>19716379.104003839</v>
      </c>
      <c r="F11" s="294">
        <f>ZI_BV_inond!D29+ZI_BV_inond!D31+ZI_BV_inond!D33+ZI_BV_inond!D34+ZI_BV_inond!D36+ZI_BV_inond!D37+ZI_BV_inond!D45+ZI_BV_inond!D47+ZI_BV_inond!D57+ZI_BV_inond!D59+ZI_BV_inond!D62+ZI_BV_inond!D65+ZI_BV_inond!D73+ZI_BV_inond!D74+ZI_BV_inond!D76+ZI_BV_inond!D77+ZI_BV_inond!D81+ZI_BV_inond!D82+ZI_BV_inond!D85+ZI_BV_inond!D86+ZI_BV_inond!D91+ZI_BV_inond!D93+ZI_BV_inond!D97+ZI_BV_inond!D101+ZI_BV_inond!D102+ZI_BV_inond!D104+ZI_BV_inond!D105+ZI_BV_inond!D108+ZI_BV_inond!D109+ZI_BV_inond!D114+ZI_BV_inond!D120+ZI_BV_inond!D123+ZI_BV_inond!D125+ZI_BV_inond!D132+ZI_BV_inond!D136+ZI_BV_inond!D138+ZI_BV_inond!D140+ZI_BV_inond!D142+ZI_BV_inond!D146+ZI_BV_inond!D147+ZI_BV_inond!D151+ZI_BV_inond!D161+ZI_BV_inond!D162+ZI_BV_inond!D39+ZI_BV_inond!D44+ZI_BV_inond!D60+ZI_BV_inond!D63+ZI_BV_inond!D98+ZI_BV_inond!D133+ZI_BV_inond!D158</f>
        <v>146672452.6318357</v>
      </c>
      <c r="G11" s="294">
        <f>ZI_BV_inond!D35+ZI_BV_inond!D38+ZI_BV_inond!D40+ZI_BV_inond!D42+ZI_BV_inond!D49+ZI_BV_inond!D52+ZI_BV_inond!D54+ZI_BV_inond!D56+ZI_BV_inond!D58+ZI_BV_inond!D61+ZI_BV_inond!D64+ZI_BV_inond!D67+ZI_BV_inond!D68+ZI_BV_inond!D71+ZI_BV_inond!D75+ZI_BV_inond!D79+ZI_BV_inond!D83+ZI_BV_inond!D92+ZI_BV_inond!D94+ZI_BV_inond!D95+ZI_BV_inond!D96+ZI_BV_inond!D99+ZI_BV_inond!D100+ZI_BV_inond!D103+ZI_BV_inond!D110+ZI_BV_inond!D112+ZI_BV_inond!D118+ZI_BV_inond!D119+ZI_BV_inond!D126+ZI_BV_inond!D127+ZI_BV_inond!D128+ZI_BV_inond!D129+ZI_BV_inond!D130+ZI_BV_inond!D131+ZI_BV_inond!D141+ZI_BV_inond!D148+ZI_BV_inond!D149+ZI_BV_inond!D152+ZI_BV_inond!D156+ZI_BV_inond!D157+ZI_BV_inond!D160</f>
        <v>69638417.585937336</v>
      </c>
      <c r="H11" s="294">
        <f>ZI_BV_inond!D26+ZI_BV_inond!D28+ZI_BV_inond!D30+ZI_BV_inond!D32+ZI_BV_inond!D41+ZI_BV_inond!D43+ZI_BV_inond!D46+ZI_BV_inond!D48+ZI_BV_inond!D50+ZI_BV_inond!D51+ZI_BV_inond!D53+ZI_BV_inond!D55+ZI_BV_inond!D66+ZI_BV_inond!D69+ZI_BV_inond!D70+ZI_BV_inond!D72+ZI_BV_inond!D78+ZI_BV_inond!D80+ZI_BV_inond!D84+ZI_BV_inond!D87+ZI_BV_inond!D88+ZI_BV_inond!D89+ZI_BV_inond!D90+ZI_BV_inond!D106+ZI_BV_inond!D107+ZI_BV_inond!D111+ZI_BV_inond!D113+ZI_BV_inond!D115+ZI_BV_inond!D116+ZI_BV_inond!D117+ZI_BV_inond!D121+ZI_BV_inond!D122+ZI_BV_inond!D124+ZI_BV_inond!D135+ZI_BV_inond!D137+ZI_BV_inond!D139+ZI_BV_inond!D144+ZI_BV_inond!D145+ZI_BV_inond!D150+ZI_BV_inond!D153+ZI_BV_inond!D155+ZI_BV_inond!D159</f>
        <v>46868713.678710878</v>
      </c>
      <c r="I11" s="294">
        <f>ZI_BV_inond!D154</f>
        <v>828072.83984375</v>
      </c>
      <c r="J11" s="294">
        <f>ZI_BV_inond!D134</f>
        <v>189752.296875</v>
      </c>
      <c r="K11" s="294">
        <f>E11+F11+G11+H11+I11+J11</f>
        <v>283913788.13720649</v>
      </c>
      <c r="L11" s="294">
        <f t="shared" si="5"/>
        <v>28391.37881372065</v>
      </c>
      <c r="M11" s="295">
        <f t="shared" si="1"/>
        <v>0.36935939361594416</v>
      </c>
    </row>
    <row r="12" spans="1:13" x14ac:dyDescent="0.25">
      <c r="A12" s="317" t="s">
        <v>853</v>
      </c>
      <c r="B12" s="315"/>
      <c r="C12" s="315"/>
      <c r="D12" s="315">
        <f>communesZI!F354</f>
        <v>587583.12097309448</v>
      </c>
      <c r="E12" s="315">
        <f>communesZI!H354+communesZI!I354</f>
        <v>15136.710808028516</v>
      </c>
      <c r="F12" s="315">
        <f>communesZI!J354+communesZI!K354</f>
        <v>84924.919778400013</v>
      </c>
      <c r="G12" s="315">
        <f>communesZI!L354</f>
        <v>16141.24714842056</v>
      </c>
      <c r="H12" s="315">
        <f>communesZI!M354</f>
        <v>14456.475681844015</v>
      </c>
      <c r="I12" s="315">
        <f>communesZI!N354</f>
        <v>82.807280000000006</v>
      </c>
      <c r="J12" s="315">
        <f>communesZI!P354</f>
        <v>252.13930999999999</v>
      </c>
      <c r="K12" s="315">
        <f>E12+F12+G12+H12+I12+J12</f>
        <v>130994.3000066931</v>
      </c>
      <c r="L12" s="315">
        <f t="shared" si="5"/>
        <v>13.09943000066931</v>
      </c>
      <c r="M12" s="316">
        <f>L12/D12</f>
        <v>2.2293747953439142E-5</v>
      </c>
    </row>
    <row r="13" spans="1:13" x14ac:dyDescent="0.25">
      <c r="C13" s="259"/>
      <c r="D13" s="259">
        <f>D12</f>
        <v>587583.12097309448</v>
      </c>
      <c r="E13" s="259">
        <f>SUM(E2:E11)/10000</f>
        <v>21380.986303042933</v>
      </c>
      <c r="F13" s="259">
        <f>(F2+F3+F4+F5+F6+F8+F9+F10)/10000</f>
        <v>84881.99549468515</v>
      </c>
      <c r="G13" s="259">
        <f t="shared" ref="G13:L13" si="6">(G2+G3+G4+G5+G6+G8+G9+G10)/10000</f>
        <v>16082.282571037376</v>
      </c>
      <c r="H13" s="259">
        <f t="shared" si="6"/>
        <v>14401.271533544905</v>
      </c>
      <c r="I13" s="259">
        <f t="shared" si="6"/>
        <v>82.807283984375005</v>
      </c>
      <c r="J13" s="259">
        <f t="shared" si="6"/>
        <v>202.13025366210849</v>
      </c>
      <c r="K13" s="259">
        <f>(K2+K3+K4+K5+K6+K8+K9+K10)/10000</f>
        <v>130785.77525263655</v>
      </c>
      <c r="L13" s="259">
        <f t="shared" si="6"/>
        <v>13.078577525263654</v>
      </c>
      <c r="M13" s="260">
        <f>L13/D13</f>
        <v>2.2258259399290204E-5</v>
      </c>
    </row>
    <row r="14" spans="1:13" x14ac:dyDescent="0.25">
      <c r="D14" s="229"/>
      <c r="G14" s="229">
        <f>F12+G12</f>
        <v>101066.16692682057</v>
      </c>
      <c r="K14" s="229"/>
    </row>
    <row r="15" spans="1:13" x14ac:dyDescent="0.25">
      <c r="A15" s="297"/>
      <c r="B15" s="297"/>
      <c r="C15" s="297"/>
      <c r="D15" s="297"/>
      <c r="E15" s="297"/>
      <c r="G15" s="229">
        <f>F13+G13</f>
        <v>100964.27806572252</v>
      </c>
      <c r="K15" s="229">
        <f>K12-K13</f>
        <v>208.52475405654695</v>
      </c>
    </row>
    <row r="16" spans="1:13" x14ac:dyDescent="0.25">
      <c r="A16" s="297"/>
      <c r="B16" s="298"/>
      <c r="C16" s="298"/>
      <c r="D16" s="298"/>
      <c r="E16" s="297"/>
    </row>
    <row r="17" spans="1:11" x14ac:dyDescent="0.25">
      <c r="A17" s="297" t="s">
        <v>1134</v>
      </c>
      <c r="B17" s="298"/>
      <c r="C17" s="298"/>
      <c r="D17" s="298"/>
      <c r="E17" s="297"/>
      <c r="F17" s="261"/>
      <c r="K17" s="229"/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38BF9A-EEBE-4243-9F2A-096E45E758D6}">
  <dimension ref="A1:AN125"/>
  <sheetViews>
    <sheetView topLeftCell="D1" workbookViewId="0">
      <selection activeCell="Q12" sqref="Q12"/>
    </sheetView>
  </sheetViews>
  <sheetFormatPr baseColWidth="10" defaultRowHeight="15" x14ac:dyDescent="0.25"/>
  <cols>
    <col min="5" max="5" width="12.42578125" bestFit="1" customWidth="1"/>
    <col min="6" max="6" width="12.42578125" style="3" customWidth="1"/>
    <col min="8" max="8" width="12.42578125" bestFit="1" customWidth="1"/>
    <col min="9" max="9" width="13.140625" customWidth="1"/>
    <col min="10" max="10" width="13.42578125" customWidth="1"/>
    <col min="12" max="13" width="12.42578125" bestFit="1" customWidth="1"/>
    <col min="16" max="16" width="11.42578125" style="3"/>
    <col min="17" max="17" width="12.42578125" bestFit="1" customWidth="1"/>
    <col min="18" max="18" width="13.42578125" bestFit="1" customWidth="1"/>
    <col min="19" max="19" width="13.7109375" customWidth="1"/>
    <col min="20" max="20" width="13.140625" customWidth="1"/>
    <col min="22" max="22" width="12.85546875" customWidth="1"/>
    <col min="23" max="23" width="13.42578125" bestFit="1" customWidth="1"/>
    <col min="24" max="24" width="13.42578125" customWidth="1"/>
    <col min="25" max="25" width="12.85546875" customWidth="1"/>
    <col min="27" max="27" width="12.42578125" bestFit="1" customWidth="1"/>
    <col min="28" max="28" width="14.42578125" customWidth="1"/>
    <col min="29" max="29" width="13" customWidth="1"/>
    <col min="30" max="30" width="13.140625" customWidth="1"/>
    <col min="32" max="32" width="12.42578125" bestFit="1" customWidth="1"/>
    <col min="36" max="36" width="11.42578125" style="3"/>
    <col min="37" max="37" width="13.42578125" customWidth="1"/>
  </cols>
  <sheetData>
    <row r="1" spans="1:40" x14ac:dyDescent="0.25">
      <c r="A1" s="87">
        <v>188221.49121093701</v>
      </c>
      <c r="C1" s="87">
        <v>491995.70068359299</v>
      </c>
      <c r="E1" s="87">
        <v>329296.50244140602</v>
      </c>
      <c r="F1" s="2"/>
      <c r="G1" s="87">
        <v>623196.80859375</v>
      </c>
      <c r="H1" s="131">
        <v>305183.58251953102</v>
      </c>
      <c r="I1" s="263">
        <v>369006.35400390602</v>
      </c>
      <c r="J1" s="266">
        <v>387427.50390625</v>
      </c>
      <c r="L1" s="131">
        <v>2177357.9072265602</v>
      </c>
      <c r="M1" s="87">
        <v>3243985.2109375</v>
      </c>
      <c r="N1" s="263">
        <v>78.123046875</v>
      </c>
      <c r="O1" s="271">
        <v>196370.646484375</v>
      </c>
      <c r="P1" s="301"/>
      <c r="Q1" s="87">
        <v>17568741.211425699</v>
      </c>
      <c r="R1" s="131">
        <v>2912004.6684570299</v>
      </c>
      <c r="S1" s="263">
        <v>636228.37988281203</v>
      </c>
      <c r="T1" s="266">
        <v>781556.73730468703</v>
      </c>
      <c r="V1" s="87">
        <v>851298.380859375</v>
      </c>
      <c r="W1" s="131">
        <v>545679.01318359305</v>
      </c>
      <c r="X1" s="263">
        <v>314954.47363281198</v>
      </c>
      <c r="Y1" s="266">
        <v>1042622.26513671</v>
      </c>
      <c r="AA1" s="87">
        <v>235816.61621093701</v>
      </c>
      <c r="AB1" s="131">
        <v>96635.9833984375</v>
      </c>
      <c r="AC1" s="263">
        <v>655.46923828125</v>
      </c>
      <c r="AD1" s="266">
        <v>212724.31542968701</v>
      </c>
      <c r="AF1" s="290">
        <v>9543224.64208984</v>
      </c>
      <c r="AG1" s="284">
        <v>2177357.9072265602</v>
      </c>
      <c r="AH1" s="285">
        <v>78.123046875</v>
      </c>
      <c r="AI1" s="289">
        <v>240.4033203125</v>
      </c>
      <c r="AJ1" s="300"/>
      <c r="AK1" s="290">
        <v>18598287.313476499</v>
      </c>
      <c r="AL1" s="284">
        <v>2912004.6684570299</v>
      </c>
      <c r="AM1" s="285">
        <v>636228.37988281203</v>
      </c>
      <c r="AN1" s="289">
        <v>781556.73730468703</v>
      </c>
    </row>
    <row r="2" spans="1:40" x14ac:dyDescent="0.25">
      <c r="A2" s="87">
        <v>2928674.1782226502</v>
      </c>
      <c r="C2" s="87">
        <v>1079826.8447265599</v>
      </c>
      <c r="E2" s="87">
        <v>1476485.64208984</v>
      </c>
      <c r="F2" s="2"/>
      <c r="G2" s="87">
        <v>615681.478515625</v>
      </c>
      <c r="H2" s="131">
        <v>1516483.96728515</v>
      </c>
      <c r="I2" s="263">
        <v>19891.347167968699</v>
      </c>
      <c r="J2" s="266">
        <v>595775.97265625</v>
      </c>
      <c r="L2" s="131">
        <v>1794570.4370117099</v>
      </c>
      <c r="M2" s="87">
        <v>1142360.4458007801</v>
      </c>
      <c r="N2" s="263">
        <v>74576.7265625</v>
      </c>
      <c r="O2" s="271">
        <v>192873.36376953099</v>
      </c>
      <c r="P2" s="301"/>
      <c r="Q2" s="87">
        <v>1118091.79052734</v>
      </c>
      <c r="R2" s="131">
        <v>2457304.73730468</v>
      </c>
      <c r="S2" s="263">
        <v>3397872.6665039002</v>
      </c>
      <c r="T2" s="266">
        <v>1090795.9003906201</v>
      </c>
      <c r="V2" s="87">
        <v>642638.642578125</v>
      </c>
      <c r="W2" s="131">
        <v>2827385.9296875</v>
      </c>
      <c r="X2" s="263">
        <v>257924.408203125</v>
      </c>
      <c r="Y2" s="266">
        <v>1130583.7290039</v>
      </c>
      <c r="AA2" s="87">
        <v>42849.521484375</v>
      </c>
      <c r="AB2" s="131">
        <v>3790509.4907226502</v>
      </c>
      <c r="AC2" s="263">
        <v>106058.45263671799</v>
      </c>
      <c r="AD2" s="266">
        <v>189933.42919921799</v>
      </c>
      <c r="AF2" s="290">
        <v>3243985.2109375</v>
      </c>
      <c r="AG2" s="284">
        <v>1794570.4370117099</v>
      </c>
      <c r="AH2" s="285">
        <v>3080588.5844726502</v>
      </c>
      <c r="AI2" s="289">
        <v>196370.646484375</v>
      </c>
      <c r="AJ2" s="300"/>
      <c r="AK2" s="290">
        <v>1118091.79052734</v>
      </c>
      <c r="AL2" s="284">
        <v>2457304.73730468</v>
      </c>
      <c r="AM2" s="285">
        <v>3397872.6665039002</v>
      </c>
      <c r="AN2" s="289">
        <v>1090795.9003906201</v>
      </c>
    </row>
    <row r="3" spans="1:40" x14ac:dyDescent="0.25">
      <c r="A3" s="87">
        <v>624129.08203125</v>
      </c>
      <c r="C3" s="87">
        <v>725481.37890625</v>
      </c>
      <c r="E3" s="87">
        <v>489970.71582031198</v>
      </c>
      <c r="F3" s="2"/>
      <c r="G3" s="87">
        <v>92069.567871093706</v>
      </c>
      <c r="H3" s="131">
        <v>150.4609375</v>
      </c>
      <c r="I3" s="263">
        <v>379416.78613281198</v>
      </c>
      <c r="J3" s="266">
        <v>177534.041015625</v>
      </c>
      <c r="L3" s="131">
        <v>1175575.40234375</v>
      </c>
      <c r="M3" s="87">
        <v>917577.21386718703</v>
      </c>
      <c r="N3" s="263">
        <v>4.68603515625</v>
      </c>
      <c r="O3" s="271">
        <v>194063.10449218701</v>
      </c>
      <c r="P3" s="301"/>
      <c r="R3" s="131">
        <v>3564095.43652343</v>
      </c>
      <c r="S3" s="263">
        <v>1813129.2978515599</v>
      </c>
      <c r="T3" s="266">
        <v>159778.82421875</v>
      </c>
      <c r="V3" s="87">
        <v>502998.42675781198</v>
      </c>
      <c r="W3" s="131">
        <v>1208584.8051757801</v>
      </c>
      <c r="X3" s="263">
        <v>16272.8818359375</v>
      </c>
      <c r="Y3" s="266">
        <v>1220116.1894531201</v>
      </c>
      <c r="AA3" s="87">
        <v>836047.90527343703</v>
      </c>
      <c r="AB3" s="131">
        <v>989.37548828125</v>
      </c>
      <c r="AC3" s="263">
        <v>438.4462890625</v>
      </c>
      <c r="AD3" s="266">
        <v>2273.7109375</v>
      </c>
      <c r="AF3" s="290">
        <v>1142360.4458007801</v>
      </c>
      <c r="AG3" s="284">
        <v>1175575.40234375</v>
      </c>
      <c r="AH3" s="285">
        <v>74576.7265625</v>
      </c>
      <c r="AI3" s="289">
        <v>192838.443359375</v>
      </c>
      <c r="AJ3" s="300"/>
      <c r="AL3" s="284">
        <v>3564095.43652343</v>
      </c>
      <c r="AM3" s="285">
        <v>1813129.2978515599</v>
      </c>
      <c r="AN3" s="289">
        <v>159813.744140625</v>
      </c>
    </row>
    <row r="4" spans="1:40" x14ac:dyDescent="0.25">
      <c r="A4" s="87">
        <v>247239.873046875</v>
      </c>
      <c r="C4" s="87">
        <v>374684.88671875</v>
      </c>
      <c r="E4" s="87">
        <v>401961.21972656198</v>
      </c>
      <c r="F4" s="2"/>
      <c r="G4" s="87">
        <v>585.81591796875</v>
      </c>
      <c r="H4" s="131">
        <v>1828797.33105468</v>
      </c>
      <c r="I4" s="263">
        <v>205917.00927734299</v>
      </c>
      <c r="J4" s="266">
        <v>371141.99316406198</v>
      </c>
      <c r="L4" s="131">
        <v>288989.90576171799</v>
      </c>
      <c r="M4" s="87">
        <v>892287.11865234305</v>
      </c>
      <c r="N4" s="263">
        <v>5360.33642578125</v>
      </c>
      <c r="O4" s="271">
        <v>1138.14111328125</v>
      </c>
      <c r="P4" s="301"/>
      <c r="R4" s="131">
        <v>1453035.20996093</v>
      </c>
      <c r="S4" s="263">
        <v>962165.86181640602</v>
      </c>
      <c r="T4" s="266">
        <v>946619.31494140602</v>
      </c>
      <c r="V4" s="87">
        <v>319013.64404296799</v>
      </c>
      <c r="W4" s="131">
        <v>141910.50390625</v>
      </c>
      <c r="X4" s="263">
        <v>299864.64550781198</v>
      </c>
      <c r="Y4" s="266">
        <v>744890.22216796805</v>
      </c>
      <c r="AA4" s="87">
        <v>315041.51611328102</v>
      </c>
      <c r="AB4" s="131">
        <v>10201.4013671875</v>
      </c>
      <c r="AC4" s="263">
        <v>0.302734375</v>
      </c>
      <c r="AD4" s="266">
        <v>75.87548828125</v>
      </c>
      <c r="AF4" s="290">
        <v>917577.21386718703</v>
      </c>
      <c r="AG4" s="284">
        <v>288989.90576171799</v>
      </c>
      <c r="AH4" s="285">
        <v>2616480.6665039002</v>
      </c>
      <c r="AI4" s="289">
        <v>180955.16015625</v>
      </c>
      <c r="AJ4" s="300"/>
      <c r="AL4" s="284">
        <v>1453035.20996093</v>
      </c>
      <c r="AM4" s="285">
        <v>962172.65771484305</v>
      </c>
      <c r="AN4" s="289">
        <v>948893.02587890602</v>
      </c>
    </row>
    <row r="5" spans="1:40" x14ac:dyDescent="0.25">
      <c r="A5" s="87">
        <v>111667.64404296799</v>
      </c>
      <c r="C5" s="87">
        <v>276471.638671875</v>
      </c>
      <c r="E5" s="87">
        <v>691323.958984375</v>
      </c>
      <c r="F5" s="2"/>
      <c r="G5" s="87">
        <v>504057.28515625</v>
      </c>
      <c r="H5" s="131">
        <v>2114196.76464843</v>
      </c>
      <c r="I5" s="263">
        <v>54751.046875</v>
      </c>
      <c r="J5" s="266">
        <v>126944.559082031</v>
      </c>
      <c r="L5" s="131">
        <v>753704.93994140602</v>
      </c>
      <c r="M5" s="87">
        <v>2341952.16699218</v>
      </c>
      <c r="N5" s="263">
        <v>1605.57373046875</v>
      </c>
      <c r="O5" s="271">
        <v>214497.26708984299</v>
      </c>
      <c r="P5" s="301"/>
      <c r="R5" s="131">
        <v>3908626.1743164002</v>
      </c>
      <c r="S5" s="263">
        <v>332787.41943359299</v>
      </c>
      <c r="T5" s="266">
        <v>193096.00732421799</v>
      </c>
      <c r="V5" s="87">
        <v>2591742.1376953102</v>
      </c>
      <c r="W5" s="131">
        <v>268198.23388671799</v>
      </c>
      <c r="X5" s="263">
        <v>357055.38525390602</v>
      </c>
      <c r="Y5" s="266">
        <v>124352.06640625</v>
      </c>
      <c r="AA5" s="87">
        <v>19361.965332031199</v>
      </c>
      <c r="AB5" s="131">
        <v>225661.11279296799</v>
      </c>
      <c r="AC5" s="263">
        <v>3992.927734375</v>
      </c>
      <c r="AD5" s="266">
        <v>339.1357421875</v>
      </c>
      <c r="AF5" s="290">
        <v>892287.11865234305</v>
      </c>
      <c r="AG5" s="284">
        <v>753704.93994140602</v>
      </c>
      <c r="AH5" s="285">
        <v>5360.33642578125</v>
      </c>
      <c r="AI5" s="289">
        <v>1138.14111328125</v>
      </c>
      <c r="AJ5" s="300"/>
      <c r="AK5" s="261">
        <f>AK1+AK2</f>
        <v>19716379.104003839</v>
      </c>
      <c r="AL5" s="284">
        <v>3908626.1743164002</v>
      </c>
      <c r="AM5" s="285">
        <v>332787.41943359299</v>
      </c>
      <c r="AN5" s="289">
        <v>193096.00732421799</v>
      </c>
    </row>
    <row r="6" spans="1:40" x14ac:dyDescent="0.25">
      <c r="A6" s="87">
        <v>3741138.17333984</v>
      </c>
      <c r="C6" s="87">
        <v>9747.619140625</v>
      </c>
      <c r="E6" s="87">
        <v>1638050.2666015599</v>
      </c>
      <c r="F6" s="2"/>
      <c r="G6" s="87">
        <v>249087.47509765599</v>
      </c>
      <c r="H6" s="131">
        <v>379489.99707031198</v>
      </c>
      <c r="I6" s="263">
        <v>98780.203125</v>
      </c>
      <c r="J6" s="266">
        <v>626817.6328125</v>
      </c>
      <c r="L6" s="131">
        <v>92579.5478515625</v>
      </c>
      <c r="M6" s="87">
        <v>2689935.4316406199</v>
      </c>
      <c r="N6" s="263">
        <v>830717.69140625</v>
      </c>
      <c r="O6" s="271">
        <v>30906.6357421875</v>
      </c>
      <c r="P6" s="301"/>
      <c r="Q6" s="261">
        <f>Q1+Q2</f>
        <v>18686833.001953039</v>
      </c>
      <c r="R6" s="131">
        <v>71.595703125</v>
      </c>
      <c r="S6" s="263">
        <v>639569.70019531203</v>
      </c>
      <c r="T6" s="266">
        <v>467332.59521484299</v>
      </c>
      <c r="V6" s="87">
        <v>1317310.37402343</v>
      </c>
      <c r="W6" s="131">
        <v>1974501.8759765599</v>
      </c>
      <c r="X6" s="263">
        <v>325156.17871093698</v>
      </c>
      <c r="Y6" s="266">
        <v>655241.90576171805</v>
      </c>
      <c r="AA6" s="87">
        <v>14958.296386718701</v>
      </c>
      <c r="AB6" s="131">
        <v>1739739.5307617099</v>
      </c>
      <c r="AC6" s="263">
        <v>46.97119140625</v>
      </c>
      <c r="AD6" s="266">
        <v>1342211.1821289</v>
      </c>
      <c r="AF6" s="290">
        <v>2341952.16699218</v>
      </c>
      <c r="AG6" s="284">
        <v>92579.5478515625</v>
      </c>
      <c r="AH6" s="285">
        <v>1605.57373046875</v>
      </c>
      <c r="AI6" s="289">
        <v>214497.26708984299</v>
      </c>
      <c r="AJ6" s="300"/>
      <c r="AL6" s="284">
        <v>6409151.5659179604</v>
      </c>
      <c r="AM6" s="285">
        <v>639569.70019531203</v>
      </c>
      <c r="AN6" s="289">
        <v>467332.59521484299</v>
      </c>
    </row>
    <row r="7" spans="1:40" x14ac:dyDescent="0.25">
      <c r="A7" s="87">
        <v>1184568.54541015</v>
      </c>
      <c r="C7" s="87">
        <v>5977.9697265625</v>
      </c>
      <c r="E7" s="87">
        <v>628201.203125</v>
      </c>
      <c r="F7" s="2"/>
      <c r="G7" s="87">
        <v>385260.57373046799</v>
      </c>
      <c r="H7" s="131">
        <v>390868.48828125</v>
      </c>
      <c r="I7" s="263">
        <v>175325.02587890599</v>
      </c>
      <c r="J7" s="266">
        <v>177336.333984375</v>
      </c>
      <c r="L7" s="131">
        <v>30584.040527343699</v>
      </c>
      <c r="M7" s="87">
        <v>2471730.1430664002</v>
      </c>
      <c r="N7" s="263">
        <v>240684.28955078099</v>
      </c>
      <c r="O7" s="271">
        <v>119815.68505859299</v>
      </c>
      <c r="P7" s="301"/>
      <c r="R7" s="131">
        <v>1141479.1767578099</v>
      </c>
      <c r="S7" s="263">
        <v>3566114.9633789002</v>
      </c>
      <c r="T7" s="266">
        <v>2735275.0239257799</v>
      </c>
      <c r="V7" s="87">
        <v>402555.15185546799</v>
      </c>
      <c r="W7" s="268">
        <v>12263.630859375</v>
      </c>
      <c r="X7" s="263">
        <v>11638.3916015625</v>
      </c>
      <c r="Y7" s="266">
        <v>596210.951171875</v>
      </c>
      <c r="AA7" s="87">
        <v>1984534.95166015</v>
      </c>
      <c r="AB7" s="131">
        <v>554242.12060546805</v>
      </c>
      <c r="AC7" s="263">
        <v>459637.73828125</v>
      </c>
      <c r="AD7" s="266">
        <v>845041.02734375</v>
      </c>
      <c r="AF7" s="290">
        <v>2689935.4316406199</v>
      </c>
      <c r="AG7" s="284">
        <v>30584.040527343699</v>
      </c>
      <c r="AH7" s="285">
        <v>856090.19140624895</v>
      </c>
      <c r="AI7" s="289">
        <v>2025986.2524414</v>
      </c>
      <c r="AJ7" s="300"/>
      <c r="AL7" s="291">
        <v>163.57421875</v>
      </c>
      <c r="AM7" s="285">
        <v>3565208.07421875</v>
      </c>
      <c r="AN7" s="289">
        <v>2734559.3017578102</v>
      </c>
    </row>
    <row r="8" spans="1:40" x14ac:dyDescent="0.25">
      <c r="A8" s="87">
        <v>252793.12353515599</v>
      </c>
      <c r="C8" s="131">
        <v>225102.046875</v>
      </c>
      <c r="E8" s="87">
        <v>620404.48681640602</v>
      </c>
      <c r="F8" s="2"/>
      <c r="G8" s="87">
        <v>746.095703125</v>
      </c>
      <c r="H8" s="131">
        <v>429139.681640625</v>
      </c>
      <c r="I8" s="263">
        <v>212722.47900390599</v>
      </c>
      <c r="J8" s="266">
        <v>33111.6845703125</v>
      </c>
      <c r="L8" s="131">
        <v>2302477.9746093699</v>
      </c>
      <c r="M8" s="87">
        <v>1131697.8837890599</v>
      </c>
      <c r="N8" s="263">
        <v>389.33935546875</v>
      </c>
      <c r="O8" s="271">
        <v>3028.2158203125</v>
      </c>
      <c r="P8" s="301"/>
      <c r="R8" s="131">
        <v>894775.78564453102</v>
      </c>
      <c r="S8" s="263">
        <v>2739323.2250976502</v>
      </c>
      <c r="T8" s="266">
        <v>907976.21044921805</v>
      </c>
      <c r="V8" s="87">
        <v>7041.92724609375</v>
      </c>
      <c r="W8" s="131">
        <v>610251.083984375</v>
      </c>
      <c r="X8" s="263">
        <v>2022881.3378906201</v>
      </c>
      <c r="Y8" s="266">
        <v>265527.44677734299</v>
      </c>
      <c r="AA8" s="87">
        <v>3159232.0356445299</v>
      </c>
      <c r="AB8" s="131">
        <v>5423490.6269531203</v>
      </c>
      <c r="AC8" s="263">
        <v>59936.267578125</v>
      </c>
      <c r="AD8" s="266">
        <v>161461.03173828099</v>
      </c>
      <c r="AF8" s="290">
        <v>2471730.1430664002</v>
      </c>
      <c r="AG8" s="284">
        <v>19926069.4985351</v>
      </c>
      <c r="AH8" s="285">
        <v>240680.34374999901</v>
      </c>
      <c r="AI8" s="289">
        <v>2226872.04443359</v>
      </c>
      <c r="AJ8" s="300"/>
      <c r="AL8" s="291">
        <v>13292.235839843701</v>
      </c>
      <c r="AM8" s="285">
        <v>3215435.3403320299</v>
      </c>
      <c r="AN8" s="289">
        <v>907980.64160156203</v>
      </c>
    </row>
    <row r="9" spans="1:40" x14ac:dyDescent="0.25">
      <c r="A9" s="87">
        <v>15562.887207031201</v>
      </c>
      <c r="C9" s="87">
        <v>83119.1396484375</v>
      </c>
      <c r="E9" s="87">
        <v>410065.56591796799</v>
      </c>
      <c r="F9" s="2"/>
      <c r="H9" s="131">
        <v>2181582.6801757799</v>
      </c>
      <c r="I9" s="263">
        <v>110323.2734375</v>
      </c>
      <c r="J9" s="266">
        <v>574920.966796875</v>
      </c>
      <c r="L9" s="131">
        <v>3382603.16699218</v>
      </c>
      <c r="M9" s="87">
        <v>2684479.4462890602</v>
      </c>
      <c r="N9" s="263">
        <v>127873.420410156</v>
      </c>
      <c r="O9" s="271">
        <v>229235.31298828099</v>
      </c>
      <c r="P9" s="301"/>
      <c r="R9" s="131">
        <v>9069.52294921875</v>
      </c>
      <c r="S9" s="263">
        <v>1511048.46630859</v>
      </c>
      <c r="T9" s="266">
        <v>2201842.9174804599</v>
      </c>
      <c r="V9" s="87">
        <v>1119055.6518554599</v>
      </c>
      <c r="W9" s="131">
        <v>908621.15234375</v>
      </c>
      <c r="X9" s="263">
        <v>5227.26220703125</v>
      </c>
      <c r="Y9" s="266">
        <v>66531.3583984375</v>
      </c>
      <c r="AA9" s="87">
        <v>2929388.9682617099</v>
      </c>
      <c r="AB9" s="131">
        <v>4532.2275390625</v>
      </c>
      <c r="AC9" s="263">
        <v>184485.44140625</v>
      </c>
      <c r="AD9" s="266">
        <v>323653.80859375</v>
      </c>
      <c r="AF9" s="290">
        <v>1131697.8837890599</v>
      </c>
      <c r="AG9" s="284">
        <v>3382603.16699218</v>
      </c>
      <c r="AH9" s="285">
        <v>389.33935546875</v>
      </c>
      <c r="AI9" s="289">
        <v>119815.68505859299</v>
      </c>
      <c r="AJ9" s="300"/>
      <c r="AL9" s="284">
        <v>1141479.1767578099</v>
      </c>
      <c r="AM9" s="285">
        <v>1511048.46630859</v>
      </c>
      <c r="AN9" s="289">
        <v>2231089.25927734</v>
      </c>
    </row>
    <row r="10" spans="1:40" x14ac:dyDescent="0.25">
      <c r="A10" s="131">
        <v>1260674.25146484</v>
      </c>
      <c r="C10" s="87">
        <v>7576.59375</v>
      </c>
      <c r="E10" s="87">
        <v>540989.181640625</v>
      </c>
      <c r="F10" s="2"/>
      <c r="H10" s="131">
        <v>252514.73193359299</v>
      </c>
      <c r="I10" s="263">
        <v>188767.75341796799</v>
      </c>
      <c r="J10" s="266">
        <v>183005.80957031201</v>
      </c>
      <c r="L10" s="131">
        <v>1248315.1328125</v>
      </c>
      <c r="M10" s="87">
        <v>834104.48779296805</v>
      </c>
      <c r="N10" s="263">
        <v>5224.37890625</v>
      </c>
      <c r="O10" s="271">
        <v>568972.01855468703</v>
      </c>
      <c r="P10" s="301"/>
      <c r="R10" s="131">
        <v>525582.15332031203</v>
      </c>
      <c r="S10" s="263">
        <v>3383920.9707031199</v>
      </c>
      <c r="T10" s="266">
        <v>835254.89501953102</v>
      </c>
      <c r="V10" s="87">
        <v>1839535.7558593701</v>
      </c>
      <c r="W10" s="131">
        <v>383813.11279296799</v>
      </c>
      <c r="X10" s="263">
        <v>15503.241699218701</v>
      </c>
      <c r="Y10" s="266">
        <v>323630.22314453102</v>
      </c>
      <c r="AA10" s="87">
        <v>5763831.1416015597</v>
      </c>
      <c r="AB10" s="131">
        <v>1551188.9555664</v>
      </c>
      <c r="AC10" s="263">
        <v>386.50927734375</v>
      </c>
      <c r="AD10" s="266">
        <v>120541.40527343701</v>
      </c>
      <c r="AF10" s="290">
        <v>2684479.4462890602</v>
      </c>
      <c r="AG10" s="284">
        <v>1248315.13281249</v>
      </c>
      <c r="AH10" s="285">
        <v>1808854.4541015599</v>
      </c>
      <c r="AI10" s="289">
        <v>45280.656738281199</v>
      </c>
      <c r="AJ10" s="300"/>
      <c r="AL10" s="284">
        <v>894775.78564453102</v>
      </c>
      <c r="AM10" s="285">
        <v>3383920.9707031199</v>
      </c>
      <c r="AN10" s="289">
        <v>835594.03076171805</v>
      </c>
    </row>
    <row r="11" spans="1:40" x14ac:dyDescent="0.25">
      <c r="A11" s="87">
        <v>104735.919921875</v>
      </c>
      <c r="C11" s="87">
        <v>211293.11767578099</v>
      </c>
      <c r="E11" s="87">
        <v>590220.09228515602</v>
      </c>
      <c r="F11" s="2"/>
      <c r="H11" s="131">
        <v>3071449.98583984</v>
      </c>
      <c r="I11" s="263">
        <v>34745.3271484375</v>
      </c>
      <c r="J11" s="266">
        <v>123686.832519531</v>
      </c>
      <c r="L11" s="131">
        <v>175.537109375</v>
      </c>
      <c r="M11" s="87">
        <v>79343.2607421875</v>
      </c>
      <c r="N11" s="263">
        <v>1206.80517578125</v>
      </c>
      <c r="O11" s="271">
        <v>154650.04199218701</v>
      </c>
      <c r="P11" s="301"/>
      <c r="R11" s="131">
        <v>1031125.13134765</v>
      </c>
      <c r="S11" s="263">
        <v>1285793.03417968</v>
      </c>
      <c r="T11" s="266">
        <v>678021.05175781203</v>
      </c>
      <c r="V11" s="87">
        <v>1551082.5791015599</v>
      </c>
      <c r="W11" s="131">
        <v>3159677.3652343699</v>
      </c>
      <c r="X11" s="263">
        <v>89603.837890625</v>
      </c>
      <c r="Y11" s="266">
        <v>326436.1015625</v>
      </c>
      <c r="AA11" s="87">
        <v>354802.56005859299</v>
      </c>
      <c r="AB11" s="131">
        <v>2857.32080078125</v>
      </c>
      <c r="AC11" s="263">
        <v>63932.473144531199</v>
      </c>
      <c r="AD11" s="266">
        <v>2255431.30859375</v>
      </c>
      <c r="AF11" s="290">
        <v>834104.48779296805</v>
      </c>
      <c r="AG11" s="284">
        <v>175.537109375</v>
      </c>
      <c r="AH11" s="285">
        <v>121982.02050781201</v>
      </c>
      <c r="AI11" s="289">
        <v>229235.31298828099</v>
      </c>
      <c r="AJ11" s="300"/>
      <c r="AL11" s="284">
        <v>9069.52294921875</v>
      </c>
      <c r="AM11" s="285">
        <v>1285793.03417968</v>
      </c>
      <c r="AN11" s="289">
        <v>678023.12402343703</v>
      </c>
    </row>
    <row r="12" spans="1:40" x14ac:dyDescent="0.25">
      <c r="A12" s="87">
        <v>94301.561035156206</v>
      </c>
      <c r="C12" s="87">
        <v>2126110.5043945299</v>
      </c>
      <c r="E12" s="266">
        <v>564373.13916015602</v>
      </c>
      <c r="F12" s="2"/>
      <c r="G12" s="261">
        <f>SUM(G1:G8)</f>
        <v>2470685.1005859366</v>
      </c>
      <c r="H12" s="131">
        <v>2370431.6767578102</v>
      </c>
      <c r="I12" s="263">
        <v>175162.30371093701</v>
      </c>
      <c r="J12" s="266">
        <v>327057.93017578102</v>
      </c>
      <c r="L12" s="131">
        <v>1712964.3930664</v>
      </c>
      <c r="M12" s="87">
        <v>34311.549316406199</v>
      </c>
      <c r="N12" s="263">
        <v>21561.539550781199</v>
      </c>
      <c r="O12" s="271">
        <v>571355.810546875</v>
      </c>
      <c r="P12" s="301"/>
      <c r="R12" s="131">
        <v>1030856.07861328</v>
      </c>
      <c r="S12" s="263">
        <v>938966.58105468703</v>
      </c>
      <c r="T12" s="266">
        <v>624143.775390625</v>
      </c>
      <c r="V12" s="87">
        <v>1099585.3510742099</v>
      </c>
      <c r="W12" s="131">
        <v>1222802.1953125</v>
      </c>
      <c r="X12" s="263">
        <v>187566.08203125</v>
      </c>
      <c r="Y12" s="266">
        <v>648696.14160156203</v>
      </c>
      <c r="AA12" s="87">
        <v>834475.12988281203</v>
      </c>
      <c r="AB12" s="131">
        <v>2112.05224609375</v>
      </c>
      <c r="AC12" s="263">
        <v>79330.190917968706</v>
      </c>
      <c r="AD12" s="266">
        <v>1041563.8095703101</v>
      </c>
      <c r="AF12" s="290">
        <v>79343.2607421875</v>
      </c>
      <c r="AG12" s="284">
        <v>1712964.3930664</v>
      </c>
      <c r="AH12" s="285">
        <v>44.75048828125</v>
      </c>
      <c r="AI12" s="289">
        <v>568972.01855468703</v>
      </c>
      <c r="AJ12" s="300"/>
      <c r="AL12" s="284">
        <v>525582.15332031203</v>
      </c>
      <c r="AM12" s="285">
        <v>949137.9375</v>
      </c>
      <c r="AN12" s="289">
        <v>624143.775390625</v>
      </c>
    </row>
    <row r="13" spans="1:40" x14ac:dyDescent="0.25">
      <c r="A13" s="87">
        <v>401562.83886718698</v>
      </c>
      <c r="C13" s="87">
        <v>14627.9697265625</v>
      </c>
      <c r="E13" s="263">
        <v>42844.6025390625</v>
      </c>
      <c r="F13" s="2"/>
      <c r="H13" s="131">
        <v>632367.11474609305</v>
      </c>
      <c r="I13" s="263">
        <v>26671.395996093699</v>
      </c>
      <c r="J13" s="266">
        <v>18462.173339843699</v>
      </c>
      <c r="L13" s="131">
        <v>616397.83105468703</v>
      </c>
      <c r="M13" s="87">
        <v>39568.8349609375</v>
      </c>
      <c r="N13" s="263">
        <v>7543.70751953125</v>
      </c>
      <c r="O13" s="271">
        <v>341984.01660156198</v>
      </c>
      <c r="P13" s="301"/>
      <c r="R13" s="131">
        <v>65035.975097656199</v>
      </c>
      <c r="S13" s="263">
        <v>121243.130859375</v>
      </c>
      <c r="T13" s="266">
        <v>764751.099609375</v>
      </c>
      <c r="V13" s="87">
        <v>706344.556640625</v>
      </c>
      <c r="W13" s="131">
        <v>799648.58251953102</v>
      </c>
      <c r="X13" s="263">
        <v>1922227.6791992099</v>
      </c>
      <c r="Y13" s="266">
        <v>853350.4140625</v>
      </c>
      <c r="AA13" s="87">
        <v>614194.71044921805</v>
      </c>
      <c r="AB13" s="131">
        <v>387765.04199218698</v>
      </c>
      <c r="AC13" s="263">
        <v>173888.15576171799</v>
      </c>
      <c r="AD13" s="266">
        <v>297.75048828125</v>
      </c>
      <c r="AF13" s="290">
        <v>34311.549316406199</v>
      </c>
      <c r="AG13" s="284">
        <v>616397.83105468703</v>
      </c>
      <c r="AH13" s="285">
        <v>5224.37890625</v>
      </c>
      <c r="AI13" s="289">
        <v>1029135.96044921</v>
      </c>
      <c r="AJ13" s="300"/>
      <c r="AL13" s="291">
        <v>24918.741699218699</v>
      </c>
      <c r="AM13" s="285">
        <v>121243.130859375</v>
      </c>
      <c r="AN13" s="289">
        <v>764751.099609375</v>
      </c>
    </row>
    <row r="14" spans="1:40" x14ac:dyDescent="0.25">
      <c r="A14" s="263">
        <v>35265.8544921875</v>
      </c>
      <c r="E14" s="87">
        <v>314745.6796875</v>
      </c>
      <c r="F14" s="2"/>
      <c r="H14" s="131">
        <v>659763.2265625</v>
      </c>
      <c r="I14" s="263">
        <v>80755.901855468706</v>
      </c>
      <c r="J14" s="266">
        <v>277047.15527343698</v>
      </c>
      <c r="L14" s="131">
        <v>2204991.32568359</v>
      </c>
      <c r="M14" s="87">
        <v>3225892.1137695299</v>
      </c>
      <c r="N14" s="263">
        <v>42486.533203125</v>
      </c>
      <c r="O14" s="271">
        <v>161530.09423828099</v>
      </c>
      <c r="P14" s="301"/>
      <c r="R14" s="131">
        <v>3248569.2924804599</v>
      </c>
      <c r="S14" s="263">
        <v>135585.45849609299</v>
      </c>
      <c r="T14" s="266">
        <v>9959.97412109375</v>
      </c>
      <c r="V14" s="87">
        <v>865725.400390625</v>
      </c>
      <c r="W14" s="131">
        <v>12433.673339843701</v>
      </c>
      <c r="X14" s="263">
        <v>1277952.5463867099</v>
      </c>
      <c r="Y14" s="266">
        <v>2726.47021484375</v>
      </c>
      <c r="AA14" s="87">
        <v>2700663.3305664002</v>
      </c>
      <c r="AB14" s="131">
        <v>3434253.6801757799</v>
      </c>
      <c r="AC14" s="263">
        <v>6.7958984375</v>
      </c>
      <c r="AD14" s="266">
        <v>326855.26025390602</v>
      </c>
      <c r="AF14" s="290">
        <v>39568.8349609375</v>
      </c>
      <c r="AG14" s="284">
        <v>24706248.940917902</v>
      </c>
      <c r="AH14" s="285">
        <v>1206.80517578125</v>
      </c>
      <c r="AI14" s="289">
        <v>571355.810546875</v>
      </c>
      <c r="AJ14" s="300"/>
      <c r="AL14" s="284">
        <v>1031138.48583984</v>
      </c>
      <c r="AM14" s="285">
        <v>958874.57714843703</v>
      </c>
      <c r="AN14" s="289">
        <v>9966.79296875</v>
      </c>
    </row>
    <row r="15" spans="1:40" x14ac:dyDescent="0.25">
      <c r="E15" s="87">
        <v>747861.13818359305</v>
      </c>
      <c r="F15" s="2"/>
      <c r="H15" s="131">
        <v>523.63427734375</v>
      </c>
      <c r="I15" s="263">
        <v>27.91748046875</v>
      </c>
      <c r="J15" s="266">
        <v>330312.12060546799</v>
      </c>
      <c r="L15" s="131">
        <v>4586469.4135742104</v>
      </c>
      <c r="M15" s="87">
        <v>596099.24902343703</v>
      </c>
      <c r="N15" s="263">
        <v>3809.958984375</v>
      </c>
      <c r="O15" s="271">
        <v>90451.131347656206</v>
      </c>
      <c r="P15" s="301"/>
      <c r="R15" s="131">
        <v>2511436.8603515602</v>
      </c>
      <c r="S15" s="263">
        <v>757600.91162109305</v>
      </c>
      <c r="T15" s="266">
        <v>719064.19824218703</v>
      </c>
      <c r="V15" s="87">
        <v>909213.03027343703</v>
      </c>
      <c r="W15" s="131">
        <v>7.73583984375</v>
      </c>
      <c r="X15" s="263">
        <v>3216.63671875</v>
      </c>
      <c r="Y15" s="266">
        <v>329766.42724609299</v>
      </c>
      <c r="AA15" s="87">
        <v>10734210.918945299</v>
      </c>
      <c r="AB15" s="131">
        <v>463197.396484375</v>
      </c>
      <c r="AC15" s="263">
        <v>215292.669921875</v>
      </c>
      <c r="AD15" s="266">
        <v>3817357.8227539002</v>
      </c>
      <c r="AF15" s="290">
        <v>3225892.1137695299</v>
      </c>
      <c r="AG15" s="284">
        <v>6865668.29199218</v>
      </c>
      <c r="AH15" s="285">
        <v>21561.539550781199</v>
      </c>
      <c r="AI15" s="289">
        <v>338602.68505859299</v>
      </c>
      <c r="AJ15" s="300"/>
      <c r="AL15" s="291">
        <v>817.58154296875</v>
      </c>
      <c r="AM15" s="285">
        <v>757604.857421875</v>
      </c>
      <c r="AN15" s="289">
        <v>719064.19824218703</v>
      </c>
    </row>
    <row r="16" spans="1:40" x14ac:dyDescent="0.25">
      <c r="A16" s="261">
        <f>SUM(A1:A13)-A10</f>
        <v>9894595.317871077</v>
      </c>
      <c r="C16" s="261">
        <f>SUM(C1:C13)-C8</f>
        <v>5406913.3637695257</v>
      </c>
      <c r="E16" s="131">
        <v>2162555.45214843</v>
      </c>
      <c r="F16" s="2"/>
      <c r="H16" s="131">
        <v>1101790.9575195301</v>
      </c>
      <c r="I16" s="263">
        <v>105927.21826171799</v>
      </c>
      <c r="J16" s="266">
        <v>358716.505859375</v>
      </c>
      <c r="L16" s="131">
        <v>539770.345703125</v>
      </c>
      <c r="M16" s="87">
        <v>779329.36181640602</v>
      </c>
      <c r="N16" s="263">
        <v>4994.62451171875</v>
      </c>
      <c r="O16" s="271">
        <v>199.587890625</v>
      </c>
      <c r="P16" s="301"/>
      <c r="R16" s="131">
        <v>173680.04345703099</v>
      </c>
      <c r="S16" s="263">
        <v>1609725.4086914</v>
      </c>
      <c r="T16" s="266">
        <v>122643.05859375</v>
      </c>
      <c r="V16" s="87">
        <v>2264629.7573242099</v>
      </c>
      <c r="W16" s="131">
        <v>674834.31005859305</v>
      </c>
      <c r="X16" s="263">
        <v>5966.3212890625</v>
      </c>
      <c r="Y16" s="266">
        <v>341944.07714843698</v>
      </c>
      <c r="AA16" s="87">
        <v>4697805.35058593</v>
      </c>
      <c r="AB16" s="131">
        <v>87181745.479492098</v>
      </c>
      <c r="AC16" s="263">
        <v>681584.92480468703</v>
      </c>
      <c r="AD16" s="266">
        <v>1072565.5761718701</v>
      </c>
      <c r="AF16" s="290">
        <v>596099.24902343703</v>
      </c>
      <c r="AG16" s="284">
        <v>539770.345703125</v>
      </c>
      <c r="AH16" s="285">
        <v>169457.06347656201</v>
      </c>
      <c r="AI16" s="289">
        <v>161530.09423828099</v>
      </c>
      <c r="AJ16" s="300"/>
      <c r="AL16" s="284">
        <v>1030856.07861328</v>
      </c>
      <c r="AM16" s="285">
        <v>1940239.6674804599</v>
      </c>
      <c r="AN16" s="289">
        <v>964298.61865234305</v>
      </c>
    </row>
    <row r="17" spans="5:40" x14ac:dyDescent="0.25">
      <c r="E17" s="87">
        <v>252030.84326171799</v>
      </c>
      <c r="F17" s="2"/>
      <c r="H17" s="131">
        <v>1119191.4213867099</v>
      </c>
      <c r="I17" s="263">
        <v>310738.25537109299</v>
      </c>
      <c r="J17" s="266">
        <v>150376.93359375</v>
      </c>
      <c r="L17" s="131">
        <v>1763283.9736328099</v>
      </c>
      <c r="M17" s="87">
        <v>446279.49462890602</v>
      </c>
      <c r="N17" s="263">
        <v>38936.638671875</v>
      </c>
      <c r="O17" s="271">
        <v>897409.52246093703</v>
      </c>
      <c r="P17" s="301"/>
      <c r="R17" s="131">
        <v>1085596.3823242099</v>
      </c>
      <c r="S17" s="263">
        <v>1246556.0122070301</v>
      </c>
      <c r="T17" s="266">
        <v>296062.978515625</v>
      </c>
      <c r="V17" s="87">
        <v>168976.89746093701</v>
      </c>
      <c r="W17" s="131">
        <v>4772059.9824218703</v>
      </c>
      <c r="X17" s="263">
        <v>10358.416503906201</v>
      </c>
      <c r="Y17" s="266">
        <v>123203.56201171799</v>
      </c>
      <c r="AA17" s="87">
        <v>2062175.1308593701</v>
      </c>
      <c r="AB17" s="131">
        <v>55580283.961425699</v>
      </c>
      <c r="AC17" s="263">
        <v>1576166.2133789</v>
      </c>
      <c r="AD17" s="266">
        <v>40083.494628906199</v>
      </c>
      <c r="AF17" s="290">
        <v>779329.36181640602</v>
      </c>
      <c r="AG17" s="284">
        <v>1763283.9736328099</v>
      </c>
      <c r="AH17" s="285">
        <v>42486.533203125</v>
      </c>
      <c r="AI17" s="289">
        <v>90458.6376953125</v>
      </c>
      <c r="AJ17" s="300"/>
      <c r="AL17" s="284">
        <v>65035.975097656199</v>
      </c>
      <c r="AM17" s="285">
        <v>1246455.66259765</v>
      </c>
      <c r="AN17" s="289">
        <v>296062.978515625</v>
      </c>
    </row>
    <row r="18" spans="5:40" x14ac:dyDescent="0.25">
      <c r="E18" s="87">
        <v>654877.46923828102</v>
      </c>
      <c r="F18" s="2"/>
      <c r="H18" s="131">
        <v>1635915.9423828099</v>
      </c>
      <c r="I18" s="263">
        <v>240441.06738281201</v>
      </c>
      <c r="J18" s="266">
        <v>1095919.05761718</v>
      </c>
      <c r="L18" s="131">
        <v>1205007.6962890599</v>
      </c>
      <c r="M18" s="87">
        <v>444478.26464843698</v>
      </c>
      <c r="N18" s="263">
        <v>6900.49169921875</v>
      </c>
      <c r="O18" s="271">
        <v>497324.12744140602</v>
      </c>
      <c r="P18" s="301"/>
      <c r="R18" s="131">
        <v>11311987.8666992</v>
      </c>
      <c r="S18" s="263">
        <v>15981954.765625</v>
      </c>
      <c r="T18" s="266">
        <v>7770114.0361328097</v>
      </c>
      <c r="V18" s="87">
        <v>313764.62353515602</v>
      </c>
      <c r="W18" s="131">
        <v>697979.69140625</v>
      </c>
      <c r="X18" s="263">
        <v>3008292.2329101502</v>
      </c>
      <c r="Y18" s="266">
        <v>429198.87792968698</v>
      </c>
      <c r="AA18" s="87">
        <v>1228617.61083984</v>
      </c>
      <c r="AB18" s="131">
        <v>13.3544921875</v>
      </c>
      <c r="AC18" s="263">
        <v>10171.3564453125</v>
      </c>
      <c r="AD18" s="266">
        <v>903467.77587890602</v>
      </c>
      <c r="AF18" s="290">
        <v>446279.49462890602</v>
      </c>
      <c r="AG18" s="284">
        <v>1205007.6962890599</v>
      </c>
      <c r="AH18" s="285">
        <v>3809.958984375</v>
      </c>
      <c r="AI18" s="289">
        <v>199.587890625</v>
      </c>
      <c r="AJ18" s="300"/>
      <c r="AL18" s="284">
        <v>3248569.2924804599</v>
      </c>
      <c r="AM18" s="285">
        <v>15982045.164550699</v>
      </c>
      <c r="AN18" s="289">
        <v>7770175.6567382803</v>
      </c>
    </row>
    <row r="19" spans="5:40" x14ac:dyDescent="0.25">
      <c r="E19" s="87">
        <v>381757.79785156198</v>
      </c>
      <c r="F19" s="2"/>
      <c r="H19" s="131">
        <v>643733.56933593703</v>
      </c>
      <c r="I19" s="263">
        <v>1687502.4838867099</v>
      </c>
      <c r="J19" s="266">
        <v>218767.67529296799</v>
      </c>
      <c r="L19" s="131">
        <v>1003803.90234375</v>
      </c>
      <c r="M19" s="87">
        <v>338001.48583984299</v>
      </c>
      <c r="N19" s="263">
        <v>2272.09912109375</v>
      </c>
      <c r="O19" s="271">
        <v>230877.97167968701</v>
      </c>
      <c r="P19" s="301"/>
      <c r="R19" s="131">
        <v>670485.21875</v>
      </c>
      <c r="S19" s="263">
        <v>1187805.15478515</v>
      </c>
      <c r="T19" s="266">
        <v>56552.580078125</v>
      </c>
      <c r="V19" s="87">
        <v>60415.837890625</v>
      </c>
      <c r="W19" s="131">
        <v>1683458.28662109</v>
      </c>
      <c r="X19" s="263">
        <v>262034.45703125</v>
      </c>
      <c r="Y19" s="266">
        <v>226211.69189453099</v>
      </c>
      <c r="AA19" s="87">
        <v>2294215.9047851502</v>
      </c>
      <c r="AB19" s="131">
        <v>8556788.9633789007</v>
      </c>
      <c r="AC19" s="263">
        <v>528325.64160156203</v>
      </c>
      <c r="AD19" s="266">
        <v>624113.50390625</v>
      </c>
      <c r="AF19" s="290">
        <v>444478.26464843698</v>
      </c>
      <c r="AG19" s="284">
        <v>100213.14453125</v>
      </c>
      <c r="AH19" s="285">
        <v>4994.62451171875</v>
      </c>
      <c r="AI19" s="289">
        <v>3837.3193359375</v>
      </c>
      <c r="AJ19" s="300"/>
      <c r="AL19" s="284">
        <v>2511436.8603515602</v>
      </c>
      <c r="AM19" s="285">
        <v>1665514.3129882801</v>
      </c>
      <c r="AN19" s="289">
        <v>56552.580078125</v>
      </c>
    </row>
    <row r="20" spans="5:40" x14ac:dyDescent="0.25">
      <c r="E20" s="87">
        <v>956332.54296875</v>
      </c>
      <c r="F20" s="2"/>
      <c r="H20" s="131">
        <v>116992.516113281</v>
      </c>
      <c r="I20" s="263">
        <v>8495.24462890625</v>
      </c>
      <c r="J20" s="266">
        <v>40664.435058593699</v>
      </c>
      <c r="L20" s="131">
        <v>6.8046875</v>
      </c>
      <c r="M20" s="87">
        <v>498422.17431640602</v>
      </c>
      <c r="N20" s="263">
        <v>841.19189453125</v>
      </c>
      <c r="O20" s="271">
        <v>1411.4189453125</v>
      </c>
      <c r="P20" s="301"/>
      <c r="R20" s="131">
        <v>9675399.2543945294</v>
      </c>
      <c r="S20" s="263">
        <v>1211216.86328125</v>
      </c>
      <c r="T20" s="266">
        <v>824572.91650390602</v>
      </c>
      <c r="V20" s="87">
        <v>218743.06982421799</v>
      </c>
      <c r="W20" s="131">
        <v>301895.11816406198</v>
      </c>
      <c r="X20" s="263">
        <v>28356.916503906199</v>
      </c>
      <c r="Y20" s="266">
        <v>225.60205078125</v>
      </c>
      <c r="AA20" s="87">
        <v>197692.79003906201</v>
      </c>
      <c r="AB20" s="131">
        <v>656467.80761718703</v>
      </c>
      <c r="AC20" s="263">
        <v>4.669921875</v>
      </c>
      <c r="AD20" s="266">
        <v>1160.474609375</v>
      </c>
      <c r="AF20" s="290">
        <v>338001.48583984299</v>
      </c>
      <c r="AG20" s="284">
        <v>4850645.1660156203</v>
      </c>
      <c r="AH20" s="285">
        <v>38936.638671875</v>
      </c>
      <c r="AI20" s="289">
        <v>934514.80029296805</v>
      </c>
      <c r="AJ20" s="300"/>
      <c r="AL20" s="284">
        <v>173680.04345703099</v>
      </c>
      <c r="AM20" s="285">
        <v>1211216.86328125</v>
      </c>
      <c r="AN20" s="289">
        <v>824572.91650390602</v>
      </c>
    </row>
    <row r="21" spans="5:40" x14ac:dyDescent="0.25">
      <c r="E21" s="87">
        <v>231334.20556640599</v>
      </c>
      <c r="F21" s="2"/>
      <c r="H21" s="131">
        <v>6311712.5048828097</v>
      </c>
      <c r="I21" s="263">
        <v>494028.04541015602</v>
      </c>
      <c r="J21" s="266">
        <v>245638.32324218701</v>
      </c>
      <c r="L21" s="131">
        <v>478530.29541015602</v>
      </c>
      <c r="M21" s="87">
        <v>32615.7744140625</v>
      </c>
      <c r="N21" s="263">
        <v>7914.27392578125</v>
      </c>
      <c r="O21" s="271">
        <v>165.8505859375</v>
      </c>
      <c r="P21" s="301"/>
      <c r="R21" s="131">
        <v>839333.37255859305</v>
      </c>
      <c r="S21" s="263">
        <v>1779099.0932617099</v>
      </c>
      <c r="T21" s="266">
        <v>719258.58105468703</v>
      </c>
      <c r="V21" s="87">
        <v>424573.62451171799</v>
      </c>
      <c r="W21" s="131">
        <v>2405454.3066406199</v>
      </c>
      <c r="X21" s="263">
        <v>384180.99853515602</v>
      </c>
      <c r="Y21" s="266">
        <v>10978.885253906201</v>
      </c>
      <c r="AA21" s="87">
        <v>2006238.20996093</v>
      </c>
      <c r="AB21" s="131">
        <v>791.8193359375</v>
      </c>
      <c r="AC21" s="263">
        <v>6076242.0205078097</v>
      </c>
      <c r="AD21" s="266">
        <v>673.9443359375</v>
      </c>
      <c r="AF21" s="290">
        <v>498370.64892578102</v>
      </c>
      <c r="AG21" s="284">
        <v>6.8046875</v>
      </c>
      <c r="AH21" s="285">
        <v>6900.49169921875</v>
      </c>
      <c r="AI21" s="289">
        <v>497324.12744140602</v>
      </c>
      <c r="AJ21" s="300"/>
      <c r="AL21" s="284">
        <v>1085596.3823242099</v>
      </c>
      <c r="AM21" s="285">
        <v>1779099.0932617099</v>
      </c>
      <c r="AN21" s="289">
        <v>719258.58105468703</v>
      </c>
    </row>
    <row r="22" spans="5:40" x14ac:dyDescent="0.25">
      <c r="E22" s="87">
        <v>1944419.6743164</v>
      </c>
      <c r="F22" s="2"/>
      <c r="H22" s="131">
        <v>2608902.44042968</v>
      </c>
      <c r="I22" s="263">
        <v>1558757.1738281201</v>
      </c>
      <c r="J22" s="266">
        <v>10001.867675781201</v>
      </c>
      <c r="L22" s="131">
        <v>1676631.7480468701</v>
      </c>
      <c r="M22" s="87">
        <v>1229067.8471679599</v>
      </c>
      <c r="N22" s="263">
        <v>36811.3076171875</v>
      </c>
      <c r="O22" s="271">
        <v>132715.990234375</v>
      </c>
      <c r="P22" s="301"/>
      <c r="R22" s="131">
        <v>2524169.9633789002</v>
      </c>
      <c r="S22" s="263">
        <v>379158.13183593698</v>
      </c>
      <c r="T22" s="266">
        <v>844391.10644531203</v>
      </c>
      <c r="W22" s="131">
        <v>42.08837890625</v>
      </c>
      <c r="X22" s="263">
        <v>261330.68359375</v>
      </c>
      <c r="Y22" s="266">
        <v>769274.86621093703</v>
      </c>
      <c r="AB22" s="131">
        <v>547858.55078125</v>
      </c>
      <c r="AC22" s="263">
        <v>2098782.40380859</v>
      </c>
      <c r="AD22" s="266">
        <v>847154.96337890602</v>
      </c>
      <c r="AF22" s="290">
        <v>32615.7744140625</v>
      </c>
      <c r="AG22" s="284">
        <v>478530.29541015602</v>
      </c>
      <c r="AH22" s="285">
        <v>2272.09912109375</v>
      </c>
      <c r="AI22" s="289">
        <v>230877.97167968701</v>
      </c>
      <c r="AJ22" s="300"/>
      <c r="AL22" s="284">
        <v>13330235.359375</v>
      </c>
      <c r="AM22" s="285">
        <v>670651.76269531203</v>
      </c>
      <c r="AN22" s="289">
        <v>1168388.99121093</v>
      </c>
    </row>
    <row r="23" spans="5:40" x14ac:dyDescent="0.25">
      <c r="E23" s="87">
        <v>785735.86181640602</v>
      </c>
      <c r="F23" s="2"/>
      <c r="H23" s="131">
        <v>485329.59814453102</v>
      </c>
      <c r="I23" s="263">
        <v>50193.369140625</v>
      </c>
      <c r="J23" s="266">
        <v>212484.17919921799</v>
      </c>
      <c r="L23" s="131">
        <v>908806.53466796805</v>
      </c>
      <c r="M23" s="87">
        <v>89000.313964843706</v>
      </c>
      <c r="O23" s="271">
        <v>179781.32666015599</v>
      </c>
      <c r="P23" s="301"/>
      <c r="R23" s="131">
        <v>287680.423828125</v>
      </c>
      <c r="S23" s="263">
        <v>4584629.94677734</v>
      </c>
      <c r="T23" s="266">
        <v>724064.99560546805</v>
      </c>
      <c r="W23" s="131">
        <v>3910304.2338867099</v>
      </c>
      <c r="X23" s="263">
        <v>1310430.3222656201</v>
      </c>
      <c r="Y23" s="266">
        <v>372712.03271484299</v>
      </c>
      <c r="AB23" s="131">
        <v>10745135.955566401</v>
      </c>
      <c r="AC23" s="263">
        <v>92075.3203125</v>
      </c>
      <c r="AD23" s="266">
        <v>294437.54931640602</v>
      </c>
      <c r="AF23" s="290">
        <v>1229067.8471679599</v>
      </c>
      <c r="AG23" s="284">
        <v>18975327.089355402</v>
      </c>
      <c r="AH23" s="285">
        <v>841.19189453125</v>
      </c>
      <c r="AI23" s="289">
        <v>1411.4189453125</v>
      </c>
      <c r="AJ23" s="300"/>
      <c r="AL23" s="284">
        <v>671277.03808593703</v>
      </c>
      <c r="AM23" s="285">
        <v>379158.13183593698</v>
      </c>
      <c r="AN23" s="289">
        <v>724064.99560546805</v>
      </c>
    </row>
    <row r="24" spans="5:40" x14ac:dyDescent="0.25">
      <c r="E24" s="87">
        <v>441773.70458984299</v>
      </c>
      <c r="F24" s="2"/>
      <c r="H24" s="131">
        <v>399590.46386718698</v>
      </c>
      <c r="I24" s="263">
        <v>209608.42285156201</v>
      </c>
      <c r="J24" s="266">
        <v>314674.50439453102</v>
      </c>
      <c r="L24" s="131">
        <v>103878.66699218701</v>
      </c>
      <c r="M24" s="87">
        <v>219320.41357421799</v>
      </c>
      <c r="O24" s="271">
        <v>53153.02734375</v>
      </c>
      <c r="P24" s="301"/>
      <c r="R24" s="131">
        <v>23770409.861328099</v>
      </c>
      <c r="S24" s="263">
        <v>264464.78613281198</v>
      </c>
      <c r="T24" s="266">
        <v>1142428.6137695301</v>
      </c>
      <c r="W24" s="131">
        <v>132698.65869140599</v>
      </c>
      <c r="X24" s="263">
        <v>132306.7265625</v>
      </c>
      <c r="Y24" s="266">
        <v>739143.68603515602</v>
      </c>
      <c r="AB24" s="131">
        <v>12812763.262695299</v>
      </c>
      <c r="AC24" s="263">
        <v>857970.18115234305</v>
      </c>
      <c r="AD24" s="266">
        <v>1440685.4057617099</v>
      </c>
      <c r="AF24" s="290">
        <v>89000.313964843706</v>
      </c>
      <c r="AG24" s="284">
        <v>908806.53466796805</v>
      </c>
      <c r="AH24" s="285">
        <v>7914.27392578125</v>
      </c>
      <c r="AI24" s="289">
        <v>165.8505859375</v>
      </c>
      <c r="AJ24" s="300"/>
      <c r="AL24" s="284">
        <v>9675401.0229492094</v>
      </c>
      <c r="AM24" s="285">
        <v>4584629.94677734</v>
      </c>
      <c r="AN24" s="289">
        <v>1142428.6137695301</v>
      </c>
    </row>
    <row r="25" spans="5:40" x14ac:dyDescent="0.25">
      <c r="E25" s="87">
        <v>279148.58642578102</v>
      </c>
      <c r="F25" s="2"/>
      <c r="H25" s="131">
        <v>616293.73583984305</v>
      </c>
      <c r="I25" s="263">
        <v>883439.59326171805</v>
      </c>
      <c r="J25" s="266">
        <v>236383.72167968701</v>
      </c>
      <c r="L25" s="131">
        <v>501460.07128906198</v>
      </c>
      <c r="M25" s="87">
        <v>130668.39404296799</v>
      </c>
      <c r="O25" s="271">
        <v>30530.529296875</v>
      </c>
      <c r="P25" s="301"/>
      <c r="R25" s="131">
        <v>782056.208984375</v>
      </c>
      <c r="S25" s="263">
        <v>3156321.3383789002</v>
      </c>
      <c r="T25" s="266">
        <v>2570136.7729492099</v>
      </c>
      <c r="V25" s="261">
        <f>SUM(V1:V21)</f>
        <v>18176244.820800737</v>
      </c>
      <c r="W25" s="131">
        <v>1005847.75341796</v>
      </c>
      <c r="X25" s="263">
        <v>485121.31201171799</v>
      </c>
      <c r="Y25" s="266">
        <v>645110.43505859305</v>
      </c>
      <c r="AA25" s="261">
        <f>SUM(AA1:AA21)</f>
        <v>43026154.564941332</v>
      </c>
      <c r="AB25" s="131">
        <v>6124456.5747070303</v>
      </c>
      <c r="AC25" s="263">
        <v>1215045.6948242099</v>
      </c>
      <c r="AD25" s="266">
        <v>1469813.4106445301</v>
      </c>
      <c r="AF25" s="290">
        <v>219320.41357421799</v>
      </c>
      <c r="AG25" s="284">
        <v>103878.66699218701</v>
      </c>
      <c r="AH25" s="285">
        <v>36811.3076171875</v>
      </c>
      <c r="AI25" s="289">
        <v>132715.990234375</v>
      </c>
      <c r="AJ25" s="300"/>
      <c r="AL25" s="284">
        <v>839333.37255859305</v>
      </c>
      <c r="AM25" s="285">
        <v>264464.78613281198</v>
      </c>
      <c r="AN25" s="289">
        <v>2570129.2690429599</v>
      </c>
    </row>
    <row r="26" spans="5:40" x14ac:dyDescent="0.25">
      <c r="E26" s="87">
        <v>305487.33496093698</v>
      </c>
      <c r="F26" s="2"/>
      <c r="H26" s="131">
        <v>9083.82666015625</v>
      </c>
      <c r="I26" s="263">
        <v>298179.248046875</v>
      </c>
      <c r="J26" s="266">
        <v>336984.275390625</v>
      </c>
      <c r="L26" s="131">
        <v>3489388.9853515602</v>
      </c>
      <c r="M26" s="87">
        <v>72291.640625</v>
      </c>
      <c r="O26" s="271">
        <v>375889.806640625</v>
      </c>
      <c r="P26" s="301"/>
      <c r="R26" s="131">
        <v>1249539.8666992099</v>
      </c>
      <c r="S26" s="263">
        <v>460204.98046875</v>
      </c>
      <c r="T26" s="266">
        <v>2471644.00683593</v>
      </c>
      <c r="V26" s="261">
        <f>(communesZI!H161+communesZI!H172+communesZI!H212)*10000</f>
        <v>3327129.1600000006</v>
      </c>
      <c r="W26" s="131">
        <v>3006285.1489257799</v>
      </c>
      <c r="X26" s="263">
        <v>8349.4794921875</v>
      </c>
      <c r="Y26" s="266">
        <v>389728.20996093698</v>
      </c>
      <c r="AB26" s="131">
        <v>3.970703125</v>
      </c>
      <c r="AC26" s="263">
        <v>2113730.6762695299</v>
      </c>
      <c r="AD26" s="266">
        <v>78567.767578125</v>
      </c>
      <c r="AF26" s="290">
        <v>130668.39404296799</v>
      </c>
      <c r="AG26" s="284">
        <v>491806.44433593698</v>
      </c>
      <c r="AI26" s="289">
        <v>179781.32666015599</v>
      </c>
      <c r="AJ26" s="300"/>
      <c r="AL26" s="284">
        <v>2524169.9633789002</v>
      </c>
      <c r="AM26" s="285">
        <v>3156321.3383789002</v>
      </c>
      <c r="AN26" s="289">
        <v>2471644.00683593</v>
      </c>
    </row>
    <row r="27" spans="5:40" x14ac:dyDescent="0.25">
      <c r="E27" s="87">
        <v>99221.6767578125</v>
      </c>
      <c r="F27" s="2"/>
      <c r="H27" s="131">
        <v>1396663.5434570301</v>
      </c>
      <c r="I27" s="263">
        <v>40939.918457031199</v>
      </c>
      <c r="J27" s="266">
        <v>302677.78955078102</v>
      </c>
      <c r="L27" s="131">
        <v>948704.93701171805</v>
      </c>
      <c r="M27" s="87">
        <v>434872.43017578102</v>
      </c>
      <c r="O27" s="271">
        <v>447189.92041015602</v>
      </c>
      <c r="P27" s="301"/>
      <c r="R27" s="131">
        <v>571150.88183593703</v>
      </c>
      <c r="S27" s="263">
        <v>1467212.52197265</v>
      </c>
      <c r="T27" s="266">
        <v>512075.92089843698</v>
      </c>
      <c r="V27" s="261">
        <f>V25+V26</f>
        <v>21503373.980800737</v>
      </c>
      <c r="W27" s="131">
        <v>1783949.02246093</v>
      </c>
      <c r="X27" s="263">
        <v>135881.97314453099</v>
      </c>
      <c r="Y27" s="266">
        <v>257112.01171875</v>
      </c>
      <c r="AB27" s="131">
        <v>16850398.500488199</v>
      </c>
      <c r="AC27" s="263">
        <v>626038.787109375</v>
      </c>
      <c r="AD27" s="266">
        <v>10813.683105468701</v>
      </c>
      <c r="AF27" s="290">
        <v>72291.640625</v>
      </c>
      <c r="AG27" s="284">
        <v>3489388.9853515602</v>
      </c>
      <c r="AI27" s="289">
        <v>53153.02734375</v>
      </c>
      <c r="AJ27" s="300"/>
      <c r="AL27" s="284">
        <v>287680.423828125</v>
      </c>
      <c r="AM27" s="285">
        <v>460204.98046875</v>
      </c>
      <c r="AN27" s="289">
        <v>512075.92089843698</v>
      </c>
    </row>
    <row r="28" spans="5:40" x14ac:dyDescent="0.25">
      <c r="E28" s="87">
        <v>1267.30419921875</v>
      </c>
      <c r="F28" s="2"/>
      <c r="H28" s="131">
        <v>24535.939941406199</v>
      </c>
      <c r="I28" s="263">
        <v>74661.818847656206</v>
      </c>
      <c r="J28" s="266">
        <v>128830.02050781201</v>
      </c>
      <c r="L28" s="131">
        <v>243927.58251953099</v>
      </c>
      <c r="M28" s="87">
        <v>93731.0927734375</v>
      </c>
      <c r="O28" s="271">
        <v>105624.72949218701</v>
      </c>
      <c r="P28" s="301"/>
      <c r="R28" s="131">
        <v>2095451.3808593701</v>
      </c>
      <c r="S28" s="263">
        <v>1182798.86230468</v>
      </c>
      <c r="T28" s="266">
        <v>87.2587890625</v>
      </c>
      <c r="W28" s="131">
        <v>2554873.7089843699</v>
      </c>
      <c r="X28" s="263">
        <v>162989.611328125</v>
      </c>
      <c r="Y28" s="266">
        <v>408109.32958984299</v>
      </c>
      <c r="AB28" s="131">
        <v>51309290.5390625</v>
      </c>
      <c r="AC28" s="263">
        <v>32066.145996093699</v>
      </c>
      <c r="AD28" s="266">
        <v>319808.04443359299</v>
      </c>
      <c r="AF28" s="290">
        <v>434800.34277343698</v>
      </c>
      <c r="AG28" s="284">
        <v>948704.93701171805</v>
      </c>
      <c r="AI28" s="289">
        <v>30507.809082031199</v>
      </c>
      <c r="AJ28" s="300"/>
      <c r="AL28" s="291">
        <v>62.63525390625</v>
      </c>
      <c r="AM28" s="285">
        <v>1467212.52197265</v>
      </c>
      <c r="AN28" s="289">
        <v>385.00927734375</v>
      </c>
    </row>
    <row r="29" spans="5:40" x14ac:dyDescent="0.25">
      <c r="E29" s="87">
        <v>236862.20751953099</v>
      </c>
      <c r="F29" s="2"/>
      <c r="H29" s="131">
        <v>324270.64160156198</v>
      </c>
      <c r="I29" s="263">
        <v>819837.44580078102</v>
      </c>
      <c r="J29" s="266">
        <v>94278.939453125</v>
      </c>
      <c r="M29" s="87">
        <v>476934.11816406198</v>
      </c>
      <c r="O29" s="271">
        <v>366550.13574218698</v>
      </c>
      <c r="P29" s="301"/>
      <c r="R29" s="131">
        <v>2351239.47802734</v>
      </c>
      <c r="S29" s="263">
        <v>2782640.5595703102</v>
      </c>
      <c r="T29" s="266">
        <v>378536.15332031198</v>
      </c>
      <c r="W29" s="131">
        <v>230790.185546875</v>
      </c>
      <c r="X29" s="263">
        <v>2758950.4438476502</v>
      </c>
      <c r="Y29" s="266">
        <v>211010.80908203099</v>
      </c>
      <c r="AB29" s="131">
        <v>37356586.742675699</v>
      </c>
      <c r="AC29" s="263">
        <v>308113.09228515602</v>
      </c>
      <c r="AD29" s="266">
        <v>441814.11621093698</v>
      </c>
      <c r="AF29" s="290">
        <v>93731.0927734375</v>
      </c>
      <c r="AG29" s="284">
        <v>243927.58251953099</v>
      </c>
      <c r="AI29" s="289">
        <v>375889.806640625</v>
      </c>
      <c r="AJ29" s="300"/>
      <c r="AL29" s="284">
        <v>25402836.8183593</v>
      </c>
      <c r="AM29" s="285">
        <v>1182798.86230468</v>
      </c>
      <c r="AN29" s="289">
        <v>705391.41357421805</v>
      </c>
    </row>
    <row r="30" spans="5:40" x14ac:dyDescent="0.25">
      <c r="E30" s="87">
        <v>958021.68994140602</v>
      </c>
      <c r="F30" s="2"/>
      <c r="H30" s="131">
        <v>400159.306640625</v>
      </c>
      <c r="I30" s="263">
        <v>375627.24755859299</v>
      </c>
      <c r="J30" s="266">
        <v>4564.3720703125</v>
      </c>
      <c r="M30" s="87">
        <v>207331.55761718701</v>
      </c>
      <c r="O30" s="271">
        <v>1403272.90527343</v>
      </c>
      <c r="P30" s="301"/>
      <c r="R30" s="131">
        <v>373750.53613281198</v>
      </c>
      <c r="S30" s="263">
        <v>638660.99902343703</v>
      </c>
      <c r="T30" s="266">
        <v>2206825.0268554599</v>
      </c>
      <c r="W30" s="131">
        <v>375095.04833984299</v>
      </c>
      <c r="X30" s="263">
        <v>3783.28955078125</v>
      </c>
      <c r="Y30" s="266">
        <v>624690.29052734305</v>
      </c>
      <c r="AB30" s="131">
        <v>1339504.5205078099</v>
      </c>
      <c r="AC30" s="263">
        <v>810617.462890625</v>
      </c>
      <c r="AF30" s="290">
        <v>476934.11816406198</v>
      </c>
      <c r="AI30" s="289">
        <v>447189.92041015602</v>
      </c>
      <c r="AJ30" s="300"/>
      <c r="AL30" s="284">
        <v>782060.1796875</v>
      </c>
      <c r="AM30" s="285">
        <v>455582.98388671799</v>
      </c>
      <c r="AN30" s="289">
        <v>3805299.36474609</v>
      </c>
    </row>
    <row r="31" spans="5:40" x14ac:dyDescent="0.25">
      <c r="E31" s="87">
        <v>758977.53466796805</v>
      </c>
      <c r="F31" s="2"/>
      <c r="H31" s="131">
        <v>32450.498046875</v>
      </c>
      <c r="I31" s="263">
        <v>225420.96777343701</v>
      </c>
      <c r="J31" s="266">
        <v>291781.54052734299</v>
      </c>
      <c r="M31" s="87">
        <v>17269.728515625</v>
      </c>
      <c r="O31" s="271">
        <v>138508.74169921799</v>
      </c>
      <c r="P31" s="301"/>
      <c r="R31" s="131">
        <v>616229.65869140602</v>
      </c>
      <c r="S31" s="263">
        <v>2371.41552734375</v>
      </c>
      <c r="T31" s="266">
        <v>1360936.92578125</v>
      </c>
      <c r="W31" s="131">
        <v>4603974.25683593</v>
      </c>
      <c r="X31" s="263">
        <v>5.79736328125</v>
      </c>
      <c r="Y31" s="266">
        <v>1484.6337890625</v>
      </c>
      <c r="AB31" s="131">
        <v>1714919.12646484</v>
      </c>
      <c r="AC31" s="263">
        <v>179106.83203125</v>
      </c>
      <c r="AF31" s="290">
        <v>207331.55761718701</v>
      </c>
      <c r="AI31" s="289">
        <v>105624.72949218701</v>
      </c>
      <c r="AJ31" s="300"/>
      <c r="AL31" s="284">
        <v>1249539.8666992099</v>
      </c>
      <c r="AM31" s="285">
        <v>2782640.5595703102</v>
      </c>
      <c r="AN31" s="289">
        <v>3278496.8105468699</v>
      </c>
    </row>
    <row r="32" spans="5:40" x14ac:dyDescent="0.25">
      <c r="H32" s="131">
        <v>136346.87939453099</v>
      </c>
      <c r="I32" s="263">
        <v>88178.889160156206</v>
      </c>
      <c r="J32" s="266">
        <v>333037.15917968698</v>
      </c>
      <c r="M32" s="87">
        <v>849623.80175781203</v>
      </c>
      <c r="R32" s="131">
        <v>2659968.5322265602</v>
      </c>
      <c r="S32" s="263">
        <v>1024205.81542968</v>
      </c>
      <c r="T32" s="266">
        <v>74561.653808593706</v>
      </c>
      <c r="W32" s="131">
        <v>363860.80908203102</v>
      </c>
      <c r="X32" s="263">
        <v>30762.922363281199</v>
      </c>
      <c r="Y32" s="266">
        <v>178357.53027343701</v>
      </c>
      <c r="AB32" s="131">
        <v>314.53662109375</v>
      </c>
      <c r="AC32" s="263">
        <v>34097.1513671875</v>
      </c>
      <c r="AF32" s="290">
        <v>17269.728515625</v>
      </c>
      <c r="AI32" s="289">
        <v>366550.13574218698</v>
      </c>
      <c r="AJ32" s="300"/>
      <c r="AL32" s="284">
        <v>571150.88183593703</v>
      </c>
      <c r="AM32" s="285">
        <v>638660.99902343703</v>
      </c>
      <c r="AN32" s="289">
        <v>1360936.92578125</v>
      </c>
    </row>
    <row r="33" spans="5:40" x14ac:dyDescent="0.25">
      <c r="E33" s="261">
        <f>SUM(E1:E31)-E12-E13-E16</f>
        <v>17166824.087402329</v>
      </c>
      <c r="F33" s="2"/>
      <c r="H33" s="131">
        <v>488674.037109375</v>
      </c>
      <c r="I33" s="263">
        <v>235083.45849609299</v>
      </c>
      <c r="J33" s="266">
        <v>156626.25830078099</v>
      </c>
      <c r="L33" s="261">
        <f>SUM(L1:L28)</f>
        <v>35230958.499511667</v>
      </c>
      <c r="M33" s="87">
        <v>3759515.94921875</v>
      </c>
      <c r="R33" s="131">
        <v>4066439.06396484</v>
      </c>
      <c r="S33" s="263">
        <v>2224049</v>
      </c>
      <c r="T33" s="266">
        <v>29015.4345703125</v>
      </c>
      <c r="W33" s="131">
        <v>311990.75</v>
      </c>
      <c r="X33" s="263">
        <v>358683.76318359299</v>
      </c>
      <c r="Y33" s="266">
        <v>407902.28808593698</v>
      </c>
      <c r="AB33" s="131">
        <v>1864779.3642578099</v>
      </c>
      <c r="AC33" s="263">
        <v>1940658.8159179599</v>
      </c>
      <c r="AF33" s="290">
        <v>849623.80175781203</v>
      </c>
      <c r="AI33" s="289">
        <v>1403272.90527343</v>
      </c>
      <c r="AJ33" s="300"/>
      <c r="AL33" s="284">
        <v>2095451.3808593701</v>
      </c>
      <c r="AM33" s="285">
        <v>2371.41552734375</v>
      </c>
      <c r="AN33" s="289">
        <v>832578.83544921805</v>
      </c>
    </row>
    <row r="34" spans="5:40" x14ac:dyDescent="0.25">
      <c r="H34" s="131">
        <v>448190.37402343698</v>
      </c>
      <c r="I34" s="263">
        <v>0.419921875</v>
      </c>
      <c r="J34" s="266">
        <v>110533.439941406</v>
      </c>
      <c r="R34" s="131">
        <v>18372051.105468702</v>
      </c>
      <c r="S34" s="263">
        <v>623253.65185546805</v>
      </c>
      <c r="T34" s="266">
        <v>262920.47509765602</v>
      </c>
      <c r="W34" s="268">
        <v>78998.392578125</v>
      </c>
      <c r="X34" s="263">
        <v>91779.782714843706</v>
      </c>
      <c r="Y34" s="266">
        <v>390255.18212890602</v>
      </c>
      <c r="AB34" s="131">
        <v>505.47314453125</v>
      </c>
      <c r="AC34" s="263">
        <v>206087.92138671799</v>
      </c>
      <c r="AF34" s="290">
        <v>3759515.94921875</v>
      </c>
      <c r="AI34" s="289">
        <v>138508.74169921799</v>
      </c>
      <c r="AJ34" s="300"/>
      <c r="AL34" s="284">
        <v>4275554.7939453097</v>
      </c>
      <c r="AM34" s="285">
        <v>1024205.81542968</v>
      </c>
      <c r="AN34" s="289">
        <v>327120.77050781198</v>
      </c>
    </row>
    <row r="35" spans="5:40" x14ac:dyDescent="0.25">
      <c r="H35" s="131">
        <v>287659.35888671799</v>
      </c>
      <c r="I35" s="263">
        <v>307686.84765625</v>
      </c>
      <c r="J35" s="266">
        <v>594484.20605468703</v>
      </c>
      <c r="M35" s="261">
        <f>SUM(M1:M33)</f>
        <v>32444078.39990231</v>
      </c>
      <c r="N35" s="261">
        <f>SUM(N1:N33)</f>
        <v>1461793.737304687</v>
      </c>
      <c r="O35" s="261">
        <f>SUM(O1:O33)</f>
        <v>7931477.0776367029</v>
      </c>
      <c r="P35" s="2"/>
      <c r="R35" s="131">
        <v>339233.8984375</v>
      </c>
      <c r="S35" s="263">
        <v>458489.5</v>
      </c>
      <c r="T35" s="266">
        <v>379964.49755859299</v>
      </c>
      <c r="W35" s="131">
        <v>487808.68457031198</v>
      </c>
      <c r="X35" s="263">
        <v>749591.97998046805</v>
      </c>
      <c r="Y35" s="266">
        <v>245943.20947265599</v>
      </c>
      <c r="AB35" s="131">
        <v>19699.999511718699</v>
      </c>
      <c r="AC35" s="263">
        <v>7773012.0166015597</v>
      </c>
      <c r="AL35" s="284">
        <v>373750.53613281198</v>
      </c>
      <c r="AM35" s="285">
        <v>2224049</v>
      </c>
      <c r="AN35" s="289">
        <v>29015.4345703125</v>
      </c>
    </row>
    <row r="36" spans="5:40" x14ac:dyDescent="0.25">
      <c r="H36" s="131">
        <v>1739779.15625</v>
      </c>
      <c r="I36" s="263">
        <v>253432.13427734299</v>
      </c>
      <c r="J36" s="266">
        <v>30755.067871093699</v>
      </c>
      <c r="M36" s="261">
        <f>(communesZI!H104+communesZI!H145)*10000</f>
        <v>753423.34</v>
      </c>
      <c r="R36" s="131">
        <v>699535.85253906203</v>
      </c>
      <c r="S36" s="263">
        <v>187412.53759765599</v>
      </c>
      <c r="T36" s="266">
        <v>720149.77392578102</v>
      </c>
      <c r="W36" s="268">
        <v>64995.66015625</v>
      </c>
      <c r="X36" s="263">
        <v>115722.01464843701</v>
      </c>
      <c r="Y36" s="266">
        <v>1548166.6997070301</v>
      </c>
      <c r="AB36" s="131">
        <v>1225380.3071289</v>
      </c>
      <c r="AC36" s="263">
        <v>1535075.47558593</v>
      </c>
      <c r="AL36" s="284">
        <v>616229.65869140602</v>
      </c>
      <c r="AM36" s="285">
        <v>623253.65185546805</v>
      </c>
      <c r="AN36" s="289">
        <v>262920.47509765602</v>
      </c>
    </row>
    <row r="37" spans="5:40" x14ac:dyDescent="0.25">
      <c r="H37" s="131">
        <v>206338.51220703099</v>
      </c>
      <c r="I37" s="263">
        <v>147265.15673828099</v>
      </c>
      <c r="J37" s="266">
        <v>240598.15722656201</v>
      </c>
      <c r="M37" s="261">
        <f>M35+M36</f>
        <v>33197501.73990231</v>
      </c>
      <c r="R37" s="131">
        <v>367475.7421875</v>
      </c>
      <c r="S37" s="263">
        <v>69954.576660156206</v>
      </c>
      <c r="T37" s="266">
        <v>408558.57519531198</v>
      </c>
      <c r="W37" s="131">
        <v>332450.95214843698</v>
      </c>
      <c r="X37" s="263">
        <v>2703788.6215820299</v>
      </c>
      <c r="Y37" s="266">
        <v>1315240.1103515599</v>
      </c>
      <c r="AB37" s="131">
        <v>2287068.9423828102</v>
      </c>
      <c r="AC37" s="263">
        <v>708161.45849609305</v>
      </c>
      <c r="AF37" s="229">
        <f>SUM(AF1:AF34)</f>
        <v>41987179.429199174</v>
      </c>
      <c r="AG37" s="229">
        <f>SUM(AG1:AG34)</f>
        <v>98871102.639648199</v>
      </c>
      <c r="AH37" s="229">
        <f>SUM(AH1:AH34)</f>
        <v>9149148.017089827</v>
      </c>
      <c r="AI37" s="229">
        <f>SUM(AI1:AI34)</f>
        <v>13094810.688476533</v>
      </c>
      <c r="AJ37" s="300"/>
      <c r="AL37" s="284">
        <v>3403253.0683593699</v>
      </c>
      <c r="AM37" s="285">
        <v>458489.5</v>
      </c>
      <c r="AN37" s="289">
        <v>379964.49755859299</v>
      </c>
    </row>
    <row r="38" spans="5:40" x14ac:dyDescent="0.25">
      <c r="H38" s="131">
        <v>319889.01855468698</v>
      </c>
      <c r="I38" s="263">
        <v>138521.63330078099</v>
      </c>
      <c r="J38" s="266">
        <v>177650.15087890599</v>
      </c>
      <c r="R38" s="131">
        <v>209245.77832031201</v>
      </c>
      <c r="S38" s="263">
        <v>927290.041015625</v>
      </c>
      <c r="T38" s="266">
        <v>311478.49072265602</v>
      </c>
      <c r="W38" s="131">
        <v>316790.78808593698</v>
      </c>
      <c r="X38" s="263">
        <v>2106.9150390625</v>
      </c>
      <c r="Y38" s="266">
        <v>129743.848144531</v>
      </c>
      <c r="AB38" s="131">
        <v>7315257.9887695303</v>
      </c>
      <c r="AC38" s="263">
        <v>589095.375</v>
      </c>
      <c r="AL38" s="284">
        <v>9132612.5073242094</v>
      </c>
      <c r="AM38" s="285">
        <v>187412.53759765599</v>
      </c>
      <c r="AN38" s="289">
        <v>720172.49511718703</v>
      </c>
    </row>
    <row r="39" spans="5:40" x14ac:dyDescent="0.25">
      <c r="H39" s="131">
        <v>4314038.53515625</v>
      </c>
      <c r="I39" s="263">
        <v>30660.2060546875</v>
      </c>
      <c r="J39" s="266">
        <v>428415.388671875</v>
      </c>
      <c r="R39" s="131">
        <v>204324.5703125</v>
      </c>
      <c r="T39" s="266">
        <v>1413584.6650390599</v>
      </c>
      <c r="W39" s="131">
        <v>3972256.4008789002</v>
      </c>
      <c r="X39" s="263">
        <v>319549.52783203102</v>
      </c>
      <c r="Y39" s="266">
        <v>335602.29248046799</v>
      </c>
      <c r="AB39" s="131">
        <v>32478222.079101499</v>
      </c>
      <c r="AF39" s="261">
        <f>M36</f>
        <v>753423.34</v>
      </c>
      <c r="AL39" s="284">
        <v>4067330.3227539002</v>
      </c>
      <c r="AM39" s="285">
        <v>249060.19091796799</v>
      </c>
      <c r="AN39" s="289">
        <v>408558.57519531198</v>
      </c>
    </row>
    <row r="40" spans="5:40" x14ac:dyDescent="0.25">
      <c r="H40" s="131">
        <v>901976.34912109305</v>
      </c>
      <c r="I40" s="263">
        <v>114920.54052734299</v>
      </c>
      <c r="J40" s="266">
        <v>279902.80615234299</v>
      </c>
      <c r="R40" s="131">
        <v>50235.8701171875</v>
      </c>
      <c r="W40" s="131">
        <v>214509.26855468701</v>
      </c>
      <c r="X40" s="263">
        <v>209176.80761718701</v>
      </c>
      <c r="Y40" s="266">
        <v>67524.720214843706</v>
      </c>
      <c r="AB40" s="131">
        <v>50496564.412597597</v>
      </c>
      <c r="AF40" s="261">
        <f>AF37+AF39</f>
        <v>42740602.769199178</v>
      </c>
      <c r="AL40" s="291">
        <v>32613.752441406199</v>
      </c>
      <c r="AM40" s="285">
        <v>927290.041015625</v>
      </c>
      <c r="AN40" s="289">
        <v>311478.49072265602</v>
      </c>
    </row>
    <row r="41" spans="5:40" x14ac:dyDescent="0.25">
      <c r="H41" s="131">
        <v>237635.81103515599</v>
      </c>
      <c r="I41" s="263">
        <v>1363768.3784179599</v>
      </c>
      <c r="J41" s="266">
        <v>318953.38037109299</v>
      </c>
      <c r="R41" s="277">
        <v>163.57421875</v>
      </c>
      <c r="W41" s="268">
        <v>494480.30810546799</v>
      </c>
      <c r="X41" s="263">
        <v>1531330.6533203099</v>
      </c>
      <c r="Y41" s="266">
        <v>175161.78271484299</v>
      </c>
      <c r="AB41" s="131">
        <v>42657412.727539003</v>
      </c>
      <c r="AL41" s="284">
        <v>18333808.353027299</v>
      </c>
      <c r="AM41" s="285">
        <v>545361.28613281203</v>
      </c>
      <c r="AN41" s="289">
        <v>1414258.60937499</v>
      </c>
    </row>
    <row r="42" spans="5:40" x14ac:dyDescent="0.25">
      <c r="H42" s="131">
        <v>317101.91699218698</v>
      </c>
      <c r="I42" s="263">
        <v>11137.054199218701</v>
      </c>
      <c r="J42" s="266">
        <v>75934.996582031206</v>
      </c>
      <c r="R42" s="277">
        <v>13292.235839843701</v>
      </c>
      <c r="W42" s="131">
        <v>1116380.6606445301</v>
      </c>
      <c r="X42" s="263">
        <v>57699.823730468699</v>
      </c>
      <c r="Y42" s="266">
        <v>269838.11474609299</v>
      </c>
      <c r="AB42" s="131">
        <v>15558240.229003901</v>
      </c>
      <c r="AL42" s="284">
        <v>1184923.61474609</v>
      </c>
      <c r="AN42" s="289">
        <v>665822.60839843703</v>
      </c>
    </row>
    <row r="43" spans="5:40" x14ac:dyDescent="0.25">
      <c r="H43" s="131">
        <v>478081.71386718698</v>
      </c>
      <c r="I43" s="263">
        <v>164457.45605468701</v>
      </c>
      <c r="J43" s="266">
        <v>115893.732910156</v>
      </c>
      <c r="R43" s="277">
        <v>24918.741699218699</v>
      </c>
      <c r="W43" s="131">
        <v>1058931.4775390599</v>
      </c>
      <c r="X43" s="263">
        <v>56358.370605468699</v>
      </c>
      <c r="Y43" s="266">
        <v>165371.67822265599</v>
      </c>
      <c r="AL43" s="284">
        <v>699850.38916015602</v>
      </c>
    </row>
    <row r="44" spans="5:40" x14ac:dyDescent="0.25">
      <c r="H44" s="131">
        <v>804873.673828125</v>
      </c>
      <c r="I44" s="263">
        <v>21334.3349609375</v>
      </c>
      <c r="J44" s="266">
        <v>7.81982421875</v>
      </c>
      <c r="R44" s="277">
        <v>817.58154296875</v>
      </c>
      <c r="W44" s="131">
        <v>329090.38525390602</v>
      </c>
      <c r="X44" s="263">
        <v>152758.47265625</v>
      </c>
      <c r="Y44" s="266">
        <v>493066.40478515602</v>
      </c>
      <c r="AL44" s="284">
        <v>367475.7421875</v>
      </c>
    </row>
    <row r="45" spans="5:40" x14ac:dyDescent="0.25">
      <c r="H45" s="131">
        <v>964260.22119140602</v>
      </c>
      <c r="I45" s="263">
        <v>68970.861328125</v>
      </c>
      <c r="J45" s="266">
        <v>85819.884277343706</v>
      </c>
      <c r="R45" s="277">
        <v>62.63525390625</v>
      </c>
      <c r="W45" s="131">
        <v>1866939.01708984</v>
      </c>
      <c r="X45" s="263">
        <v>104058.602050781</v>
      </c>
      <c r="Y45" s="266">
        <v>271486.56884765602</v>
      </c>
      <c r="AB45" s="261">
        <f>SUM(AB1:AB42)</f>
        <v>462367831.50634712</v>
      </c>
      <c r="AC45" s="261">
        <f>SUM(AC1:AC42)</f>
        <v>31340318.449706987</v>
      </c>
      <c r="AD45" s="261">
        <f>SUM(AD1:AD42)</f>
        <v>18184920.58349606</v>
      </c>
      <c r="AL45" s="284">
        <v>209245.77832031201</v>
      </c>
    </row>
    <row r="46" spans="5:40" x14ac:dyDescent="0.25">
      <c r="H46" s="131">
        <v>2166.6328125</v>
      </c>
      <c r="I46" s="263">
        <v>58942.8212890625</v>
      </c>
      <c r="J46" s="266">
        <v>69135.072265625</v>
      </c>
      <c r="R46" s="277">
        <v>32613.752441406199</v>
      </c>
      <c r="W46" s="131">
        <v>417185.48730468698</v>
      </c>
      <c r="X46" s="263">
        <v>977450.966796875</v>
      </c>
      <c r="Y46" s="266">
        <v>2360437.5590820299</v>
      </c>
      <c r="AL46" s="284">
        <v>159612.654296875</v>
      </c>
    </row>
    <row r="47" spans="5:40" x14ac:dyDescent="0.25">
      <c r="H47" s="131">
        <v>2055051.97558593</v>
      </c>
      <c r="I47" s="263">
        <v>84748.047363281206</v>
      </c>
      <c r="J47" s="266">
        <v>107782.59130859299</v>
      </c>
      <c r="R47" s="277">
        <v>13652059.3193359</v>
      </c>
      <c r="W47" s="268">
        <v>530726.44775390602</v>
      </c>
      <c r="X47" s="263">
        <v>1236232.18115234</v>
      </c>
      <c r="Y47" s="266">
        <v>725897.06005859305</v>
      </c>
      <c r="AL47" s="284">
        <v>19699.999511718699</v>
      </c>
    </row>
    <row r="48" spans="5:40" x14ac:dyDescent="0.25">
      <c r="H48" s="131">
        <v>2102523.8330078102</v>
      </c>
      <c r="I48" s="263">
        <v>17144.353515625</v>
      </c>
      <c r="J48" s="266">
        <v>2065721.4433593701</v>
      </c>
      <c r="W48" s="131">
        <v>1277588.3706054599</v>
      </c>
      <c r="X48" s="263">
        <v>460266.44238281198</v>
      </c>
      <c r="Y48" s="266">
        <v>627285.30175781203</v>
      </c>
      <c r="AL48" s="291">
        <v>13652070.997070299</v>
      </c>
    </row>
    <row r="49" spans="8:40" x14ac:dyDescent="0.25">
      <c r="H49" s="131">
        <v>2515651.8833007799</v>
      </c>
      <c r="I49" s="263">
        <v>34967.91796875</v>
      </c>
      <c r="J49" s="266">
        <v>54427.4248046875</v>
      </c>
      <c r="W49" s="131">
        <v>766562.83251953102</v>
      </c>
      <c r="X49" s="263">
        <v>43459.044433593699</v>
      </c>
      <c r="Y49" s="266">
        <v>752517.32519531203</v>
      </c>
      <c r="AL49" s="284">
        <v>204324.5703125</v>
      </c>
    </row>
    <row r="50" spans="8:40" x14ac:dyDescent="0.25">
      <c r="H50" s="131">
        <v>7283.9169921875</v>
      </c>
      <c r="I50" s="263">
        <v>2174.84423828125</v>
      </c>
      <c r="J50" s="266">
        <v>241081.53076171799</v>
      </c>
      <c r="W50" s="131">
        <v>6759519.1572265597</v>
      </c>
      <c r="X50" s="263">
        <v>7050.5400390625</v>
      </c>
      <c r="Y50" s="266">
        <v>415649.40722656198</v>
      </c>
      <c r="AL50" s="284">
        <v>50267.268066406199</v>
      </c>
    </row>
    <row r="51" spans="8:40" x14ac:dyDescent="0.25">
      <c r="H51" s="131">
        <v>764157.07519531203</v>
      </c>
      <c r="I51" s="263">
        <v>72971.267089843706</v>
      </c>
      <c r="J51" s="266">
        <v>279269.47705078102</v>
      </c>
      <c r="R51" s="261">
        <f>SUM(R1:R47)</f>
        <v>123823666.45068339</v>
      </c>
      <c r="S51" s="261">
        <f>SUM(S1:S47)</f>
        <v>65670826.029785067</v>
      </c>
      <c r="T51" s="261">
        <f>SUM(T1:T47)</f>
        <v>38716033.023437455</v>
      </c>
      <c r="W51" s="131">
        <v>1405342.16015625</v>
      </c>
      <c r="X51" s="263">
        <v>6647.29833984375</v>
      </c>
      <c r="Y51" s="266">
        <v>48.41748046875</v>
      </c>
    </row>
    <row r="52" spans="8:40" x14ac:dyDescent="0.25">
      <c r="H52" s="131">
        <v>1146110.9902343701</v>
      </c>
      <c r="I52" s="263">
        <v>105882.84716796799</v>
      </c>
      <c r="J52" s="266">
        <v>36664.739746093699</v>
      </c>
      <c r="W52" s="131">
        <v>2257715.97265625</v>
      </c>
      <c r="X52" s="263">
        <v>383897.974609375</v>
      </c>
      <c r="Y52" s="266">
        <v>766820.64794921805</v>
      </c>
    </row>
    <row r="53" spans="8:40" x14ac:dyDescent="0.25">
      <c r="H53" s="131">
        <v>2695500.6323242099</v>
      </c>
      <c r="I53" s="263">
        <v>82668.01953125</v>
      </c>
      <c r="J53" s="266">
        <v>61439.063964843699</v>
      </c>
      <c r="W53" s="131">
        <v>261684.06787109299</v>
      </c>
      <c r="X53" s="263">
        <v>615211.82861328102</v>
      </c>
      <c r="Y53" s="266">
        <v>1414018.0947265599</v>
      </c>
    </row>
    <row r="54" spans="8:40" x14ac:dyDescent="0.25">
      <c r="H54" s="131">
        <v>2905811.5668945299</v>
      </c>
      <c r="I54" s="263">
        <v>11732.59375</v>
      </c>
      <c r="J54" s="266">
        <v>40007.638671875</v>
      </c>
      <c r="W54" s="131">
        <v>2624515.2109375</v>
      </c>
      <c r="X54" s="263">
        <v>10876.649902343701</v>
      </c>
      <c r="Y54" s="266">
        <v>174185.08691406201</v>
      </c>
      <c r="AL54" s="229">
        <f>SUM(AL1:AL50)</f>
        <v>146672452.6318357</v>
      </c>
      <c r="AM54" s="229">
        <f>SUM(AM1:AM50)</f>
        <v>69638417.585937336</v>
      </c>
      <c r="AN54" s="229">
        <f>SUM(AN1:AN50)</f>
        <v>46868713.678710878</v>
      </c>
    </row>
    <row r="55" spans="8:40" x14ac:dyDescent="0.25">
      <c r="H55" s="131">
        <v>215155.87939453099</v>
      </c>
      <c r="I55" s="263">
        <v>2376.578125</v>
      </c>
      <c r="J55" s="266">
        <v>543872.19824218703</v>
      </c>
      <c r="W55" s="131">
        <v>199992.30615234299</v>
      </c>
      <c r="X55" s="263">
        <v>260785.5703125</v>
      </c>
      <c r="Y55" s="266">
        <v>407101.50634765602</v>
      </c>
    </row>
    <row r="56" spans="8:40" x14ac:dyDescent="0.25">
      <c r="H56" s="131">
        <v>1688157.95996093</v>
      </c>
      <c r="I56" s="263">
        <v>24235.615234375</v>
      </c>
      <c r="J56" s="266">
        <v>95382.612792968706</v>
      </c>
      <c r="W56" s="131">
        <v>2165446.2260742099</v>
      </c>
      <c r="X56" s="263">
        <v>650201.85058593703</v>
      </c>
      <c r="Y56" s="266">
        <v>1074572.3964843701</v>
      </c>
    </row>
    <row r="57" spans="8:40" x14ac:dyDescent="0.25">
      <c r="H57" s="131">
        <v>370929.623046875</v>
      </c>
      <c r="I57" s="263">
        <v>74677.521484375</v>
      </c>
      <c r="J57" s="266">
        <v>1595775.8066406201</v>
      </c>
      <c r="W57" s="268">
        <v>12.22021484375</v>
      </c>
      <c r="X57" s="263">
        <v>375198.33154296799</v>
      </c>
      <c r="Y57" s="266">
        <v>383032.90283203102</v>
      </c>
    </row>
    <row r="58" spans="8:40" x14ac:dyDescent="0.25">
      <c r="H58" s="131">
        <v>946478.72949218703</v>
      </c>
      <c r="I58" s="263">
        <v>5328.78466796875</v>
      </c>
      <c r="J58" s="266">
        <v>95270.983886718706</v>
      </c>
      <c r="W58" s="131">
        <v>4300.61767578125</v>
      </c>
      <c r="X58" s="263">
        <v>928403.15087890602</v>
      </c>
      <c r="Y58" s="266">
        <v>25.84423828125</v>
      </c>
    </row>
    <row r="59" spans="8:40" x14ac:dyDescent="0.25">
      <c r="H59" s="131">
        <v>2159027.1127929599</v>
      </c>
      <c r="I59" s="263">
        <v>25681.433105468699</v>
      </c>
      <c r="J59" s="266">
        <v>98498.916503906206</v>
      </c>
      <c r="W59" s="131">
        <v>849200.38378906203</v>
      </c>
      <c r="X59" s="263">
        <v>1143147.08349609</v>
      </c>
      <c r="Y59" s="266">
        <v>115393.225097656</v>
      </c>
    </row>
    <row r="60" spans="8:40" x14ac:dyDescent="0.25">
      <c r="H60" s="131">
        <v>866687.94238281203</v>
      </c>
      <c r="I60" s="263">
        <v>74740.056152343706</v>
      </c>
      <c r="J60" s="266">
        <v>255718.49560546799</v>
      </c>
      <c r="W60" s="131">
        <v>4999848.046875</v>
      </c>
      <c r="X60" s="263">
        <v>99831.4091796875</v>
      </c>
      <c r="Y60" s="266">
        <v>166708.49755859299</v>
      </c>
    </row>
    <row r="61" spans="8:40" x14ac:dyDescent="0.25">
      <c r="H61" s="131">
        <v>431076.89892578102</v>
      </c>
      <c r="I61" s="263">
        <v>7962.2529296875</v>
      </c>
      <c r="J61" s="266">
        <v>320103.31494140602</v>
      </c>
      <c r="W61" s="131">
        <v>411701.35009765602</v>
      </c>
      <c r="X61" s="263">
        <v>445443.021484375</v>
      </c>
      <c r="Y61" s="266">
        <v>192752.38330078099</v>
      </c>
    </row>
    <row r="62" spans="8:40" x14ac:dyDescent="0.25">
      <c r="H62" s="131">
        <v>149.98681640625</v>
      </c>
      <c r="I62" s="263">
        <v>42852.4228515625</v>
      </c>
      <c r="J62" s="266">
        <v>178553.85498046799</v>
      </c>
      <c r="W62" s="131">
        <v>219692.52392578099</v>
      </c>
      <c r="X62" s="263">
        <v>20663.374511718699</v>
      </c>
      <c r="Y62" s="266">
        <v>1396730.5043945301</v>
      </c>
    </row>
    <row r="63" spans="8:40" x14ac:dyDescent="0.25">
      <c r="H63" s="131">
        <v>135870.83105468701</v>
      </c>
      <c r="I63" s="263">
        <v>49875.283691406199</v>
      </c>
      <c r="J63" s="266">
        <v>90899.803222656206</v>
      </c>
      <c r="W63" s="268">
        <v>166640.47949218701</v>
      </c>
      <c r="X63" s="263">
        <v>844611.02587890602</v>
      </c>
      <c r="Y63" s="266">
        <v>1458289.70947265</v>
      </c>
    </row>
    <row r="64" spans="8:40" x14ac:dyDescent="0.25">
      <c r="H64" s="131">
        <v>755048.14501953102</v>
      </c>
      <c r="I64" s="263">
        <v>92557.73828125</v>
      </c>
      <c r="J64" s="266">
        <v>125238.883300781</v>
      </c>
      <c r="W64" s="131">
        <v>37919.3818359375</v>
      </c>
      <c r="X64" s="263">
        <v>377971.49072265602</v>
      </c>
      <c r="Y64" s="266">
        <v>754991.06005859305</v>
      </c>
    </row>
    <row r="65" spans="8:25" x14ac:dyDescent="0.25">
      <c r="H65" s="131">
        <v>563644.21533203102</v>
      </c>
      <c r="I65" s="263">
        <v>3356936.9433593699</v>
      </c>
      <c r="J65" s="266">
        <v>85901.0068359375</v>
      </c>
      <c r="W65" s="131">
        <v>9802.478515625</v>
      </c>
      <c r="X65" s="263">
        <v>260662.373046875</v>
      </c>
      <c r="Y65" s="266">
        <v>271386.38427734299</v>
      </c>
    </row>
    <row r="66" spans="8:25" x14ac:dyDescent="0.25">
      <c r="H66" s="131">
        <v>1678025.99072265</v>
      </c>
      <c r="I66" s="263">
        <v>18570.0068359375</v>
      </c>
      <c r="J66" s="266">
        <v>221282.0859375</v>
      </c>
      <c r="W66" s="131">
        <v>1465836.0292968701</v>
      </c>
      <c r="X66" s="263">
        <v>93281.661621093706</v>
      </c>
      <c r="Y66" s="266">
        <v>159892.20214843701</v>
      </c>
    </row>
    <row r="67" spans="8:25" x14ac:dyDescent="0.25">
      <c r="H67" s="131">
        <v>171520.83056640599</v>
      </c>
      <c r="I67" s="263">
        <v>56159.597167968699</v>
      </c>
      <c r="J67" s="266">
        <v>9350.125</v>
      </c>
      <c r="W67" s="131">
        <v>91486.9892578125</v>
      </c>
      <c r="X67" s="263">
        <v>884069.64306640602</v>
      </c>
      <c r="Y67" s="266">
        <v>2276749.04443359</v>
      </c>
    </row>
    <row r="68" spans="8:25" x14ac:dyDescent="0.25">
      <c r="H68" s="131">
        <v>587129.98583984305</v>
      </c>
      <c r="I68" s="263">
        <v>34753.296875</v>
      </c>
      <c r="J68" s="266">
        <v>116681.797363281</v>
      </c>
      <c r="W68" s="131">
        <v>8736177.1230468694</v>
      </c>
      <c r="X68" s="263">
        <v>630163.23486328102</v>
      </c>
      <c r="Y68" s="266">
        <v>535384.029296875</v>
      </c>
    </row>
    <row r="69" spans="8:25" x14ac:dyDescent="0.25">
      <c r="H69" s="131">
        <v>63689.115722656199</v>
      </c>
      <c r="I69" s="263">
        <v>46625.689941406199</v>
      </c>
      <c r="J69" s="266">
        <v>181513.517578125</v>
      </c>
      <c r="W69" s="131">
        <v>754203.265625</v>
      </c>
      <c r="X69" s="263">
        <v>67003.3388671875</v>
      </c>
      <c r="Y69" s="266">
        <v>149869.29394531201</v>
      </c>
    </row>
    <row r="70" spans="8:25" x14ac:dyDescent="0.25">
      <c r="H70" s="131">
        <v>5051430.7641601497</v>
      </c>
      <c r="I70" s="263">
        <v>19513.966796875</v>
      </c>
      <c r="J70" s="266">
        <v>374288.96923828102</v>
      </c>
      <c r="W70" s="131">
        <v>473480.59814453102</v>
      </c>
      <c r="X70" s="263">
        <v>6.201171875E-2</v>
      </c>
      <c r="Y70" s="266">
        <v>1535612.86083984</v>
      </c>
    </row>
    <row r="71" spans="8:25" x14ac:dyDescent="0.25">
      <c r="H71" s="131">
        <v>629640.87207031203</v>
      </c>
      <c r="I71" s="263">
        <v>17231.5703125</v>
      </c>
      <c r="J71" s="266">
        <v>92203.758300781206</v>
      </c>
      <c r="W71" s="131">
        <v>666707.38037109305</v>
      </c>
      <c r="X71" s="263">
        <v>92164.599121093706</v>
      </c>
      <c r="Y71" s="266">
        <v>464434.55957031198</v>
      </c>
    </row>
    <row r="72" spans="8:25" x14ac:dyDescent="0.25">
      <c r="H72" s="131">
        <v>446723.83154296799</v>
      </c>
      <c r="I72" s="263">
        <v>71943.283203125</v>
      </c>
      <c r="J72" s="266">
        <v>312410.611328125</v>
      </c>
      <c r="W72" s="131">
        <v>308217.861328125</v>
      </c>
      <c r="X72" s="263">
        <v>7174.41796875</v>
      </c>
      <c r="Y72" s="266">
        <v>981956.28564453102</v>
      </c>
    </row>
    <row r="73" spans="8:25" x14ac:dyDescent="0.25">
      <c r="H73" s="131">
        <v>1794525.0307617099</v>
      </c>
      <c r="I73" s="263">
        <v>226480.38330078099</v>
      </c>
      <c r="J73" s="266">
        <v>378641.78515625</v>
      </c>
      <c r="W73" s="131">
        <v>5132907.6372070303</v>
      </c>
      <c r="X73" s="263">
        <v>1579.703125</v>
      </c>
      <c r="Y73" s="266">
        <v>907843.41552734305</v>
      </c>
    </row>
    <row r="74" spans="8:25" x14ac:dyDescent="0.25">
      <c r="H74" s="131">
        <v>504035.57373046799</v>
      </c>
      <c r="J74" s="266">
        <v>70034.984863281206</v>
      </c>
      <c r="W74" s="131">
        <v>335702.94091796799</v>
      </c>
      <c r="X74" s="263">
        <v>203486.19384765599</v>
      </c>
      <c r="Y74" s="266">
        <v>1257509.3784179599</v>
      </c>
    </row>
    <row r="75" spans="8:25" x14ac:dyDescent="0.25">
      <c r="H75" s="131">
        <v>297427.73193359299</v>
      </c>
      <c r="W75" s="131">
        <v>3729364.5610351502</v>
      </c>
      <c r="X75" s="263">
        <v>21113.706542968699</v>
      </c>
      <c r="Y75" s="266">
        <v>2328837.54052734</v>
      </c>
    </row>
    <row r="76" spans="8:25" x14ac:dyDescent="0.25">
      <c r="H76" s="131">
        <v>273700.97216796799</v>
      </c>
      <c r="W76" s="131">
        <v>3051577.3813476502</v>
      </c>
      <c r="X76" s="263">
        <v>474121.20166015602</v>
      </c>
      <c r="Y76" s="266">
        <v>139258.50488281201</v>
      </c>
    </row>
    <row r="77" spans="8:25" x14ac:dyDescent="0.25">
      <c r="H77" s="131">
        <v>1681396.7807617099</v>
      </c>
      <c r="W77" s="131">
        <v>2262289.6684570299</v>
      </c>
      <c r="X77" s="263">
        <v>450961.60302734299</v>
      </c>
      <c r="Y77" s="266">
        <v>1175605.61474609</v>
      </c>
    </row>
    <row r="78" spans="8:25" x14ac:dyDescent="0.25">
      <c r="H78" s="131">
        <v>176369.55810546799</v>
      </c>
      <c r="W78" s="268">
        <v>61.341796875</v>
      </c>
      <c r="X78" s="263">
        <v>13886.356933593701</v>
      </c>
      <c r="Y78" s="266">
        <v>1046807.69873046</v>
      </c>
    </row>
    <row r="79" spans="8:25" x14ac:dyDescent="0.25">
      <c r="H79" s="261">
        <f>SUM(H1:H78)</f>
        <v>80686508.656249881</v>
      </c>
      <c r="I79" s="261">
        <f>SUM(I1:I77)</f>
        <v>17181214.152343713</v>
      </c>
      <c r="J79" s="261">
        <f>SUM(J1:J77)</f>
        <v>19519091.792480439</v>
      </c>
      <c r="W79" s="131">
        <v>123121.26708984299</v>
      </c>
      <c r="X79" s="263">
        <v>337364.07763671799</v>
      </c>
      <c r="Y79" s="266">
        <v>408617.68066406198</v>
      </c>
    </row>
    <row r="80" spans="8:25" x14ac:dyDescent="0.25">
      <c r="W80" s="131">
        <v>74040.166015625</v>
      </c>
      <c r="X80" s="263">
        <v>29270.703125</v>
      </c>
      <c r="Y80" s="266">
        <v>2008879.7309570301</v>
      </c>
    </row>
    <row r="81" spans="23:25" x14ac:dyDescent="0.25">
      <c r="W81" s="131">
        <v>5246408.33349609</v>
      </c>
      <c r="X81" s="263">
        <v>95893.5166015625</v>
      </c>
      <c r="Y81" s="266">
        <v>107681.744628906</v>
      </c>
    </row>
    <row r="82" spans="23:25" x14ac:dyDescent="0.25">
      <c r="W82" s="131">
        <v>7702648.09130859</v>
      </c>
      <c r="X82" s="263">
        <v>75093.468261718706</v>
      </c>
      <c r="Y82" s="266">
        <v>611979.47558593703</v>
      </c>
    </row>
    <row r="83" spans="23:25" x14ac:dyDescent="0.25">
      <c r="W83" s="131">
        <v>965315.75830078102</v>
      </c>
      <c r="X83" s="263">
        <v>171516.53222656201</v>
      </c>
      <c r="Y83" s="266">
        <v>1327.33447265625</v>
      </c>
    </row>
    <row r="84" spans="23:25" x14ac:dyDescent="0.25">
      <c r="W84" s="131">
        <v>776.39111328125</v>
      </c>
      <c r="X84" s="263">
        <v>27780.6513671875</v>
      </c>
      <c r="Y84" s="266">
        <v>64936.949707031199</v>
      </c>
    </row>
    <row r="85" spans="23:25" x14ac:dyDescent="0.25">
      <c r="W85" s="131">
        <v>581426.50097656203</v>
      </c>
      <c r="X85" s="263">
        <v>690602.76806640602</v>
      </c>
      <c r="Y85" s="266">
        <v>163880.32763671799</v>
      </c>
    </row>
    <row r="86" spans="23:25" x14ac:dyDescent="0.25">
      <c r="W86" s="131">
        <v>826636.185546875</v>
      </c>
      <c r="X86" s="263">
        <v>38823.682128906199</v>
      </c>
      <c r="Y86" s="266">
        <v>45.015625</v>
      </c>
    </row>
    <row r="87" spans="23:25" x14ac:dyDescent="0.25">
      <c r="W87" s="131">
        <v>254985.16943359299</v>
      </c>
      <c r="X87" s="263">
        <v>301720.57763671799</v>
      </c>
      <c r="Y87" s="266">
        <v>229282.32373046799</v>
      </c>
    </row>
    <row r="88" spans="23:25" x14ac:dyDescent="0.25">
      <c r="W88" s="268">
        <v>249045.470703125</v>
      </c>
      <c r="X88" s="263">
        <v>92761.891113281206</v>
      </c>
      <c r="Y88" s="266">
        <v>1030173.01855468</v>
      </c>
    </row>
    <row r="89" spans="23:25" x14ac:dyDescent="0.25">
      <c r="W89" s="131">
        <v>121304.381347656</v>
      </c>
      <c r="X89" s="263">
        <v>2137.1455078125</v>
      </c>
      <c r="Y89" s="266">
        <v>73757.878417968706</v>
      </c>
    </row>
    <row r="90" spans="23:25" x14ac:dyDescent="0.25">
      <c r="W90" s="131">
        <v>1490929.22558593</v>
      </c>
      <c r="X90" s="263">
        <v>34873.909667968699</v>
      </c>
      <c r="Y90" s="266">
        <v>126252.208984375</v>
      </c>
    </row>
    <row r="91" spans="23:25" x14ac:dyDescent="0.25">
      <c r="W91" s="131">
        <v>305466.69384765602</v>
      </c>
      <c r="X91" s="263">
        <v>3357.12060546875</v>
      </c>
      <c r="Y91" s="266">
        <v>723333.228515625</v>
      </c>
    </row>
    <row r="92" spans="23:25" x14ac:dyDescent="0.25">
      <c r="W92" s="268">
        <v>2058417.0722656201</v>
      </c>
      <c r="X92" s="263">
        <v>3483.123046875</v>
      </c>
      <c r="Y92" s="266">
        <v>85560.292480468706</v>
      </c>
    </row>
    <row r="93" spans="23:25" x14ac:dyDescent="0.25">
      <c r="W93" s="268">
        <v>447120.72314453102</v>
      </c>
      <c r="X93" s="263">
        <v>10193.191894531201</v>
      </c>
      <c r="Y93" s="266">
        <v>242174.22216796799</v>
      </c>
    </row>
    <row r="94" spans="23:25" x14ac:dyDescent="0.25">
      <c r="W94" s="131">
        <v>207866.505859375</v>
      </c>
      <c r="Y94" s="266">
        <v>318960.47509765602</v>
      </c>
    </row>
    <row r="95" spans="23:25" x14ac:dyDescent="0.25">
      <c r="W95" s="131">
        <v>543364.37207031203</v>
      </c>
      <c r="Y95" s="266">
        <v>591756.45361328102</v>
      </c>
    </row>
    <row r="96" spans="23:25" x14ac:dyDescent="0.25">
      <c r="W96" s="131">
        <v>1443.96630859375</v>
      </c>
      <c r="Y96" s="266">
        <v>57208.358886718699</v>
      </c>
    </row>
    <row r="97" spans="23:25" x14ac:dyDescent="0.25">
      <c r="W97" s="131">
        <v>176870.93896484299</v>
      </c>
      <c r="Y97" s="266">
        <v>596003.50732421805</v>
      </c>
    </row>
    <row r="98" spans="23:25" x14ac:dyDescent="0.25">
      <c r="W98" s="131">
        <v>1838699.8017578099</v>
      </c>
      <c r="Y98" s="266">
        <v>288289.88525390602</v>
      </c>
    </row>
    <row r="99" spans="23:25" x14ac:dyDescent="0.25">
      <c r="W99" s="131">
        <v>855527.26513671805</v>
      </c>
      <c r="Y99" s="266">
        <v>491262.92626953102</v>
      </c>
    </row>
    <row r="100" spans="23:25" x14ac:dyDescent="0.25">
      <c r="W100" s="131">
        <v>3512412.0551757799</v>
      </c>
      <c r="Y100" s="266">
        <v>1056615.5859375</v>
      </c>
    </row>
    <row r="101" spans="23:25" x14ac:dyDescent="0.25">
      <c r="W101" s="131">
        <v>1764560.5815429599</v>
      </c>
      <c r="Y101" s="266">
        <v>2233974.6098632799</v>
      </c>
    </row>
    <row r="102" spans="23:25" x14ac:dyDescent="0.25">
      <c r="W102" s="131">
        <v>87039.974609375</v>
      </c>
      <c r="Y102" s="266">
        <v>4881.12451171875</v>
      </c>
    </row>
    <row r="103" spans="23:25" x14ac:dyDescent="0.25">
      <c r="W103" s="131">
        <v>894748.68408203102</v>
      </c>
      <c r="Y103" s="266">
        <v>52235.8759765625</v>
      </c>
    </row>
    <row r="104" spans="23:25" x14ac:dyDescent="0.25">
      <c r="W104" s="268">
        <v>531682.486328125</v>
      </c>
      <c r="Y104" s="266">
        <v>389081.42919921799</v>
      </c>
    </row>
    <row r="105" spans="23:25" x14ac:dyDescent="0.25">
      <c r="W105" s="268">
        <v>182.9072265625</v>
      </c>
      <c r="Y105" s="266">
        <v>43093.478027343699</v>
      </c>
    </row>
    <row r="106" spans="23:25" x14ac:dyDescent="0.25">
      <c r="W106" s="131">
        <v>18.54931640625</v>
      </c>
      <c r="Y106" s="266">
        <v>106633.59375</v>
      </c>
    </row>
    <row r="107" spans="23:25" x14ac:dyDescent="0.25">
      <c r="W107" s="131">
        <v>632424.90576171805</v>
      </c>
      <c r="Y107" s="266">
        <v>160973.31542968701</v>
      </c>
    </row>
    <row r="108" spans="23:25" x14ac:dyDescent="0.25">
      <c r="W108" s="131">
        <v>4688615.0605468703</v>
      </c>
      <c r="Y108" s="266">
        <v>212192.29833984299</v>
      </c>
    </row>
    <row r="109" spans="23:25" x14ac:dyDescent="0.25">
      <c r="W109" s="131">
        <v>316554.89111328102</v>
      </c>
      <c r="Y109" s="266">
        <v>323690.283203125</v>
      </c>
    </row>
    <row r="110" spans="23:25" x14ac:dyDescent="0.25">
      <c r="W110" s="131">
        <v>638497.12402343703</v>
      </c>
    </row>
    <row r="111" spans="23:25" x14ac:dyDescent="0.25">
      <c r="W111" s="131">
        <v>2252339.6479492099</v>
      </c>
    </row>
    <row r="112" spans="23:25" x14ac:dyDescent="0.25">
      <c r="W112" s="131">
        <v>777634.20019531203</v>
      </c>
    </row>
    <row r="113" spans="23:25" x14ac:dyDescent="0.25">
      <c r="W113" s="131">
        <v>11274.848144531201</v>
      </c>
    </row>
    <row r="114" spans="23:25" x14ac:dyDescent="0.25">
      <c r="W114" s="131">
        <v>1350188.18505859</v>
      </c>
    </row>
    <row r="115" spans="23:25" x14ac:dyDescent="0.25">
      <c r="W115" s="268">
        <v>1608103.7119140599</v>
      </c>
    </row>
    <row r="116" spans="23:25" x14ac:dyDescent="0.25">
      <c r="W116" s="131">
        <v>16.123046875</v>
      </c>
    </row>
    <row r="117" spans="23:25" x14ac:dyDescent="0.25">
      <c r="W117" s="268">
        <v>290.447265625</v>
      </c>
    </row>
    <row r="118" spans="23:25" x14ac:dyDescent="0.25">
      <c r="W118" s="131">
        <v>520798.01953125</v>
      </c>
    </row>
    <row r="119" spans="23:25" x14ac:dyDescent="0.25">
      <c r="W119" s="131">
        <v>1023312.53808593</v>
      </c>
    </row>
    <row r="120" spans="23:25" x14ac:dyDescent="0.25">
      <c r="W120" s="131">
        <v>843992.16357421805</v>
      </c>
    </row>
    <row r="121" spans="23:25" x14ac:dyDescent="0.25">
      <c r="W121" s="131">
        <v>447346.275390625</v>
      </c>
    </row>
    <row r="122" spans="23:25" x14ac:dyDescent="0.25">
      <c r="W122" s="131">
        <v>30918.641113281199</v>
      </c>
    </row>
    <row r="125" spans="23:25" x14ac:dyDescent="0.25">
      <c r="W125" s="261">
        <f>SUM(W1:W122)</f>
        <v>151602579.05029285</v>
      </c>
      <c r="X125" s="261">
        <f>SUM(X1:X122)</f>
        <v>36550641.917480417</v>
      </c>
      <c r="Y125" s="261">
        <f>SUM(Y1:Y122)</f>
        <v>59096819.719238207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802A2-E8E4-481F-AF64-769590EDA54E}">
  <dimension ref="A1:L42"/>
  <sheetViews>
    <sheetView topLeftCell="D5" workbookViewId="0">
      <selection activeCell="G40" sqref="G40"/>
    </sheetView>
  </sheetViews>
  <sheetFormatPr baseColWidth="10" defaultRowHeight="15" x14ac:dyDescent="0.25"/>
  <cols>
    <col min="1" max="1" width="12.42578125" style="1" customWidth="1"/>
    <col min="2" max="2" width="38.28515625" style="1" customWidth="1"/>
    <col min="3" max="3" width="15.7109375" style="1" customWidth="1"/>
    <col min="4" max="4" width="40.85546875" style="1" customWidth="1"/>
    <col min="5" max="5" width="25.7109375" style="1" customWidth="1"/>
    <col min="6" max="6" width="26.28515625" style="1" customWidth="1"/>
    <col min="7" max="8" width="17.7109375" style="1" customWidth="1"/>
    <col min="13" max="13" width="11.28515625" customWidth="1"/>
  </cols>
  <sheetData>
    <row r="1" spans="1:12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1136</v>
      </c>
      <c r="I1" s="1" t="s">
        <v>1139</v>
      </c>
      <c r="J1" s="1" t="s">
        <v>1137</v>
      </c>
      <c r="K1" s="1" t="s">
        <v>1138</v>
      </c>
      <c r="L1" s="1" t="s">
        <v>1139</v>
      </c>
    </row>
    <row r="2" spans="1:12" s="129" customFormat="1" x14ac:dyDescent="0.25">
      <c r="A2" s="130" t="s">
        <v>28</v>
      </c>
      <c r="B2" s="130" t="s">
        <v>29</v>
      </c>
      <c r="C2" s="130" t="s">
        <v>30</v>
      </c>
      <c r="D2" s="130" t="s">
        <v>732</v>
      </c>
      <c r="E2" s="130" t="s">
        <v>15</v>
      </c>
      <c r="F2" s="130" t="s">
        <v>11</v>
      </c>
      <c r="G2" s="266">
        <v>120.85848</v>
      </c>
      <c r="H2" s="266">
        <f>ZoneInondable2022!G837</f>
        <v>0.21371448000000001</v>
      </c>
      <c r="I2" s="131">
        <f>G2+H2</f>
        <v>121.07219447999999</v>
      </c>
      <c r="J2" s="131">
        <f>communesZI!K237</f>
        <v>91.996580755835907</v>
      </c>
      <c r="K2" s="131">
        <f>communesZI!L237</f>
        <v>29.0756137241641</v>
      </c>
      <c r="L2" s="131">
        <f>J2+K2</f>
        <v>121.07219448000001</v>
      </c>
    </row>
    <row r="3" spans="1:12" s="129" customFormat="1" x14ac:dyDescent="0.25">
      <c r="A3" s="130" t="s">
        <v>141</v>
      </c>
      <c r="B3" s="130" t="s">
        <v>142</v>
      </c>
      <c r="C3" s="130" t="s">
        <v>46</v>
      </c>
      <c r="D3" s="130" t="s">
        <v>739</v>
      </c>
      <c r="E3" s="130" t="s">
        <v>15</v>
      </c>
      <c r="F3" s="130" t="s">
        <v>11</v>
      </c>
      <c r="G3" s="266">
        <v>61.025289999999998</v>
      </c>
      <c r="H3" s="266">
        <f>ZoneInondable2022!G652</f>
        <v>2.1113705999999999</v>
      </c>
      <c r="I3" s="131">
        <f>G3+H3</f>
        <v>63.136660599999999</v>
      </c>
      <c r="J3" s="131">
        <f>communesZI!K191</f>
        <v>42.0128898356419</v>
      </c>
      <c r="K3" s="131">
        <f>communesZI!L191</f>
        <v>21.123770764358099</v>
      </c>
      <c r="L3" s="131">
        <f>J3+K3</f>
        <v>63.136660599999999</v>
      </c>
    </row>
    <row r="4" spans="1:12" s="129" customFormat="1" x14ac:dyDescent="0.25">
      <c r="A4" s="130" t="s">
        <v>161</v>
      </c>
      <c r="B4" s="130" t="s">
        <v>162</v>
      </c>
      <c r="C4" s="130" t="s">
        <v>80</v>
      </c>
      <c r="D4" s="130" t="s">
        <v>733</v>
      </c>
      <c r="E4" s="130" t="s">
        <v>15</v>
      </c>
      <c r="F4" s="130" t="s">
        <v>11</v>
      </c>
      <c r="G4" s="266">
        <v>38.381312999999999</v>
      </c>
      <c r="H4" s="266"/>
      <c r="I4" s="131">
        <f>G4+H4</f>
        <v>38.381312999999999</v>
      </c>
      <c r="J4" s="131">
        <f>communesZI!K179</f>
        <v>22.315979850308299</v>
      </c>
      <c r="K4" s="131">
        <f>communesZI!L179</f>
        <v>16.0653331496917</v>
      </c>
      <c r="L4" s="131">
        <f>J4+K4</f>
        <v>38.381312999999999</v>
      </c>
    </row>
    <row r="5" spans="1:12" s="129" customFormat="1" x14ac:dyDescent="0.25">
      <c r="A5" s="130" t="s">
        <v>201</v>
      </c>
      <c r="B5" s="130" t="s">
        <v>202</v>
      </c>
      <c r="C5" s="130" t="s">
        <v>80</v>
      </c>
      <c r="D5" s="130" t="s">
        <v>733</v>
      </c>
      <c r="E5" s="130" t="s">
        <v>15</v>
      </c>
      <c r="F5" s="130" t="s">
        <v>11</v>
      </c>
      <c r="G5" s="266">
        <v>79.964860000000002</v>
      </c>
      <c r="H5" s="266">
        <f>ZoneInondable2022!G707</f>
        <v>1.3886354000000001</v>
      </c>
      <c r="I5" s="131">
        <f>G5+H5</f>
        <v>81.3534954</v>
      </c>
      <c r="J5" s="131">
        <f>communesZI!K277</f>
        <v>57.158552461488696</v>
      </c>
      <c r="K5" s="131">
        <f>communesZI!L277</f>
        <v>24.194942938511304</v>
      </c>
      <c r="L5" s="131">
        <f>J5+K5</f>
        <v>81.3534954</v>
      </c>
    </row>
    <row r="6" spans="1:12" s="129" customFormat="1" x14ac:dyDescent="0.25">
      <c r="A6" s="130" t="s">
        <v>241</v>
      </c>
      <c r="B6" s="130" t="s">
        <v>242</v>
      </c>
      <c r="C6" s="130" t="s">
        <v>30</v>
      </c>
      <c r="D6" s="130" t="s">
        <v>732</v>
      </c>
      <c r="E6" s="130" t="s">
        <v>15</v>
      </c>
      <c r="F6" s="130" t="s">
        <v>11</v>
      </c>
      <c r="G6" s="266">
        <v>67.483429999999998</v>
      </c>
      <c r="H6" s="266">
        <f>ZoneInondable2022!G611</f>
        <v>0.71744129999999995</v>
      </c>
      <c r="I6" s="131">
        <f t="shared" ref="I6:I7" si="0">G6+H6</f>
        <v>68.200871300000003</v>
      </c>
      <c r="J6" s="131">
        <f>communesZI!K246</f>
        <v>48.138888546795002</v>
      </c>
      <c r="K6" s="131">
        <f>communesZI!L246</f>
        <v>20.061982753205001</v>
      </c>
      <c r="L6" s="131">
        <f t="shared" ref="L6:L7" si="1">J6+K6</f>
        <v>68.200871300000003</v>
      </c>
    </row>
    <row r="7" spans="1:12" s="129" customFormat="1" x14ac:dyDescent="0.25">
      <c r="A7" s="130" t="s">
        <v>55</v>
      </c>
      <c r="B7" s="130" t="s">
        <v>56</v>
      </c>
      <c r="C7" s="130" t="s">
        <v>14</v>
      </c>
      <c r="D7" s="130" t="s">
        <v>740</v>
      </c>
      <c r="E7" s="130" t="s">
        <v>15</v>
      </c>
      <c r="F7" s="130" t="s">
        <v>11</v>
      </c>
      <c r="G7" s="266">
        <v>30.189509999999999</v>
      </c>
      <c r="H7" s="266">
        <f>ZoneInondable2022!G51</f>
        <v>0.52272620000000003</v>
      </c>
      <c r="I7" s="131">
        <f t="shared" si="0"/>
        <v>30.7122362</v>
      </c>
      <c r="J7" s="131">
        <f>communesZI!K244</f>
        <v>19.0161868641596</v>
      </c>
      <c r="K7" s="131">
        <f>communesZI!L244</f>
        <v>11.696049335840399</v>
      </c>
      <c r="L7" s="131">
        <f t="shared" si="1"/>
        <v>30.7122362</v>
      </c>
    </row>
    <row r="8" spans="1:12" s="129" customFormat="1" x14ac:dyDescent="0.25">
      <c r="A8" s="130" t="s">
        <v>273</v>
      </c>
      <c r="B8" s="130" t="s">
        <v>274</v>
      </c>
      <c r="C8" s="130" t="s">
        <v>80</v>
      </c>
      <c r="D8" s="130" t="s">
        <v>733</v>
      </c>
      <c r="E8" s="130" t="s">
        <v>15</v>
      </c>
      <c r="F8" s="130" t="s">
        <v>11</v>
      </c>
      <c r="G8" s="266">
        <v>240.54543000000001</v>
      </c>
      <c r="H8" s="266">
        <f>ZoneInondable2022!G458</f>
        <v>0.70505404000000005</v>
      </c>
      <c r="I8" s="131">
        <f t="shared" ref="I8:I21" si="2">G8+H8</f>
        <v>241.25048404</v>
      </c>
      <c r="J8" s="131">
        <f>communesZI!K121</f>
        <v>197.09410003651791</v>
      </c>
      <c r="K8" s="131">
        <f>communesZI!L121</f>
        <v>44.156384003482103</v>
      </c>
      <c r="L8" s="131">
        <f t="shared" ref="L8:L33" si="3">J8+K8</f>
        <v>241.25048404</v>
      </c>
    </row>
    <row r="9" spans="1:12" s="129" customFormat="1" x14ac:dyDescent="0.25">
      <c r="A9" s="130" t="s">
        <v>122</v>
      </c>
      <c r="B9" s="130" t="s">
        <v>123</v>
      </c>
      <c r="C9" s="130" t="s">
        <v>30</v>
      </c>
      <c r="D9" s="130" t="s">
        <v>732</v>
      </c>
      <c r="E9" s="130" t="s">
        <v>15</v>
      </c>
      <c r="F9" s="130" t="s">
        <v>11</v>
      </c>
      <c r="G9" s="266">
        <v>391.03070000000002</v>
      </c>
      <c r="H9" s="266">
        <f>ZoneInondable2022!G449</f>
        <v>4.3459050000000001</v>
      </c>
      <c r="I9" s="131">
        <f t="shared" si="2"/>
        <v>395.37660500000004</v>
      </c>
      <c r="J9" s="131">
        <f>communesZI!K348</f>
        <v>355.47739585297563</v>
      </c>
      <c r="K9" s="131">
        <f>communesZI!L348</f>
        <v>39.899209147024401</v>
      </c>
      <c r="L9" s="131">
        <f t="shared" si="3"/>
        <v>395.37660500000004</v>
      </c>
    </row>
    <row r="10" spans="1:12" s="129" customFormat="1" x14ac:dyDescent="0.25">
      <c r="A10" s="130" t="s">
        <v>169</v>
      </c>
      <c r="B10" s="130" t="s">
        <v>170</v>
      </c>
      <c r="C10" s="130" t="s">
        <v>80</v>
      </c>
      <c r="D10" s="130" t="s">
        <v>733</v>
      </c>
      <c r="E10" s="130" t="s">
        <v>15</v>
      </c>
      <c r="F10" s="130" t="s">
        <v>11</v>
      </c>
      <c r="G10" s="266">
        <v>300.62849999999997</v>
      </c>
      <c r="H10" s="266">
        <f>ZoneInondable2022!G84</f>
        <v>0.5966321</v>
      </c>
      <c r="I10" s="131">
        <f t="shared" si="2"/>
        <v>301.2251321</v>
      </c>
      <c r="J10" s="131">
        <f>communesZI!K223</f>
        <v>231.81021292327586</v>
      </c>
      <c r="K10" s="131">
        <f>communesZI!L223</f>
        <v>69.414919176724098</v>
      </c>
      <c r="L10" s="131">
        <f t="shared" si="3"/>
        <v>301.22513209999994</v>
      </c>
    </row>
    <row r="11" spans="1:12" s="129" customFormat="1" x14ac:dyDescent="0.25">
      <c r="A11" s="130" t="s">
        <v>335</v>
      </c>
      <c r="B11" s="130" t="s">
        <v>336</v>
      </c>
      <c r="C11" s="130" t="s">
        <v>80</v>
      </c>
      <c r="D11" s="130" t="s">
        <v>733</v>
      </c>
      <c r="E11" s="130" t="s">
        <v>15</v>
      </c>
      <c r="F11" s="130" t="s">
        <v>11</v>
      </c>
      <c r="G11" s="266">
        <v>255.48737</v>
      </c>
      <c r="H11" s="266">
        <f>0</f>
        <v>0</v>
      </c>
      <c r="I11" s="131">
        <f t="shared" si="2"/>
        <v>255.48737</v>
      </c>
      <c r="J11" s="131">
        <f>communesZI!K313</f>
        <v>235.62589821213288</v>
      </c>
      <c r="K11" s="131">
        <f>communesZI!L313</f>
        <v>19.861471787867103</v>
      </c>
      <c r="L11" s="131">
        <f t="shared" si="3"/>
        <v>255.48737</v>
      </c>
    </row>
    <row r="12" spans="1:12" s="129" customFormat="1" x14ac:dyDescent="0.25">
      <c r="A12" s="130" t="s">
        <v>349</v>
      </c>
      <c r="B12" s="130" t="s">
        <v>350</v>
      </c>
      <c r="C12" s="130" t="s">
        <v>30</v>
      </c>
      <c r="D12" s="130" t="s">
        <v>732</v>
      </c>
      <c r="E12" s="130" t="s">
        <v>15</v>
      </c>
      <c r="F12" s="130" t="s">
        <v>11</v>
      </c>
      <c r="G12" s="266">
        <v>23.079018000000001</v>
      </c>
      <c r="H12" s="266">
        <v>0</v>
      </c>
      <c r="I12" s="131">
        <f t="shared" si="2"/>
        <v>23.079018000000001</v>
      </c>
      <c r="J12" s="131">
        <f>communesZI!K73</f>
        <v>16.970952861619999</v>
      </c>
      <c r="K12" s="131">
        <f>communesZI!L73</f>
        <v>6.1080651383800006</v>
      </c>
      <c r="L12" s="131">
        <f t="shared" si="3"/>
        <v>23.079017999999998</v>
      </c>
    </row>
    <row r="13" spans="1:12" s="129" customFormat="1" x14ac:dyDescent="0.25">
      <c r="A13" s="130" t="s">
        <v>357</v>
      </c>
      <c r="B13" s="130" t="s">
        <v>358</v>
      </c>
      <c r="C13" s="130" t="s">
        <v>14</v>
      </c>
      <c r="D13" s="130" t="s">
        <v>740</v>
      </c>
      <c r="E13" s="130" t="s">
        <v>15</v>
      </c>
      <c r="F13" s="130" t="s">
        <v>11</v>
      </c>
      <c r="G13" s="266">
        <v>460.39742999999999</v>
      </c>
      <c r="H13" s="266">
        <f>ZoneInondable2022!G475</f>
        <v>0.66472960000000003</v>
      </c>
      <c r="I13" s="131">
        <f t="shared" si="2"/>
        <v>461.06215959999997</v>
      </c>
      <c r="J13" s="131">
        <f>communesZI!K183</f>
        <v>443.91029342062029</v>
      </c>
      <c r="K13" s="131">
        <f>communesZI!L183</f>
        <v>17.151866179379702</v>
      </c>
      <c r="L13" s="131">
        <f t="shared" si="3"/>
        <v>461.06215959999997</v>
      </c>
    </row>
    <row r="14" spans="1:12" s="129" customFormat="1" x14ac:dyDescent="0.25">
      <c r="A14" s="130" t="s">
        <v>136</v>
      </c>
      <c r="B14" s="130" t="s">
        <v>137</v>
      </c>
      <c r="C14" s="313">
        <v>200034411</v>
      </c>
      <c r="D14" s="130" t="s">
        <v>738</v>
      </c>
      <c r="E14" s="130" t="s">
        <v>15</v>
      </c>
      <c r="F14" s="130" t="s">
        <v>11</v>
      </c>
      <c r="G14" s="266">
        <v>33.245094000000002</v>
      </c>
      <c r="H14" s="266">
        <v>0</v>
      </c>
      <c r="I14" s="131">
        <f t="shared" si="2"/>
        <v>33.245094000000002</v>
      </c>
      <c r="J14" s="131">
        <f>communesZI!K145</f>
        <v>22.662602990736001</v>
      </c>
      <c r="K14" s="131">
        <f>communesZI!L145</f>
        <v>10.582491009264</v>
      </c>
      <c r="L14" s="131">
        <f t="shared" si="3"/>
        <v>33.245094000000002</v>
      </c>
    </row>
    <row r="15" spans="1:12" s="129" customFormat="1" x14ac:dyDescent="0.25">
      <c r="A15" s="130" t="s">
        <v>405</v>
      </c>
      <c r="B15" s="130" t="s">
        <v>406</v>
      </c>
      <c r="C15" s="130" t="s">
        <v>30</v>
      </c>
      <c r="D15" s="130" t="s">
        <v>732</v>
      </c>
      <c r="E15" s="130" t="s">
        <v>15</v>
      </c>
      <c r="F15" s="130" t="s">
        <v>11</v>
      </c>
      <c r="G15" s="266">
        <v>105.89315000000001</v>
      </c>
      <c r="H15" s="266">
        <f>ZoneInondable2022!G714</f>
        <v>2.9270703999999999</v>
      </c>
      <c r="I15" s="131">
        <f t="shared" si="2"/>
        <v>108.82022040000001</v>
      </c>
      <c r="J15" s="131">
        <f>communesZI!K281</f>
        <v>63.763385992770303</v>
      </c>
      <c r="K15" s="131">
        <f>communesZI!L281</f>
        <v>45.056834407229701</v>
      </c>
      <c r="L15" s="131">
        <f t="shared" si="3"/>
        <v>108.82022040000001</v>
      </c>
    </row>
    <row r="16" spans="1:12" s="129" customFormat="1" x14ac:dyDescent="0.25">
      <c r="A16" s="130" t="s">
        <v>359</v>
      </c>
      <c r="B16" s="130" t="s">
        <v>360</v>
      </c>
      <c r="C16" s="130" t="s">
        <v>30</v>
      </c>
      <c r="D16" s="130" t="s">
        <v>732</v>
      </c>
      <c r="E16" s="130" t="s">
        <v>15</v>
      </c>
      <c r="F16" s="130" t="s">
        <v>11</v>
      </c>
      <c r="G16" s="266">
        <v>35.362633000000002</v>
      </c>
      <c r="H16" s="266">
        <f>ZoneInondable2022!G218</f>
        <v>0.38112069999999998</v>
      </c>
      <c r="I16" s="131">
        <f t="shared" si="2"/>
        <v>35.743753699999999</v>
      </c>
      <c r="J16" s="131">
        <f>communesZI!K271</f>
        <v>35.362633000000002</v>
      </c>
      <c r="K16" s="131">
        <f>communesZI!L271</f>
        <v>0.38112069999999998</v>
      </c>
      <c r="L16" s="131">
        <f t="shared" si="3"/>
        <v>35.743753699999999</v>
      </c>
    </row>
    <row r="17" spans="1:12" s="129" customFormat="1" x14ac:dyDescent="0.25">
      <c r="A17" s="130" t="s">
        <v>424</v>
      </c>
      <c r="B17" s="130" t="s">
        <v>425</v>
      </c>
      <c r="C17" s="130" t="s">
        <v>30</v>
      </c>
      <c r="D17" s="130" t="s">
        <v>732</v>
      </c>
      <c r="E17" s="130" t="s">
        <v>15</v>
      </c>
      <c r="F17" s="130" t="s">
        <v>11</v>
      </c>
      <c r="G17" s="266">
        <v>41.718547999999998</v>
      </c>
      <c r="H17" s="266">
        <f>ZoneInondable2022!G864</f>
        <v>1.0193192</v>
      </c>
      <c r="I17" s="131">
        <f t="shared" si="2"/>
        <v>42.737867199999997</v>
      </c>
      <c r="J17" s="131">
        <f>communesZI!K163</f>
        <v>30.780187694638798</v>
      </c>
      <c r="K17" s="131">
        <f>communesZI!L163</f>
        <v>11.957679505361199</v>
      </c>
      <c r="L17" s="131">
        <f t="shared" si="3"/>
        <v>42.737867199999997</v>
      </c>
    </row>
    <row r="18" spans="1:12" s="129" customFormat="1" x14ac:dyDescent="0.25">
      <c r="A18" s="130" t="s">
        <v>448</v>
      </c>
      <c r="B18" s="130" t="s">
        <v>449</v>
      </c>
      <c r="C18" s="130" t="s">
        <v>80</v>
      </c>
      <c r="D18" s="130" t="s">
        <v>733</v>
      </c>
      <c r="E18" s="130" t="s">
        <v>15</v>
      </c>
      <c r="F18" s="130" t="s">
        <v>11</v>
      </c>
      <c r="G18" s="266">
        <v>675.95214999999996</v>
      </c>
      <c r="H18" s="266">
        <f>ZoneInondable2022!G722</f>
        <v>9.5893510000000006</v>
      </c>
      <c r="I18" s="131">
        <f t="shared" si="2"/>
        <v>685.54150099999993</v>
      </c>
      <c r="J18" s="131">
        <f>communesZI!K238</f>
        <v>568.64494637904193</v>
      </c>
      <c r="K18" s="131">
        <f>communesZI!L238</f>
        <v>116.896554620958</v>
      </c>
      <c r="L18" s="131">
        <f t="shared" si="3"/>
        <v>685.54150099999993</v>
      </c>
    </row>
    <row r="19" spans="1:12" s="129" customFormat="1" x14ac:dyDescent="0.25">
      <c r="A19" s="130" t="s">
        <v>547</v>
      </c>
      <c r="B19" s="130" t="s">
        <v>548</v>
      </c>
      <c r="C19" s="130" t="s">
        <v>14</v>
      </c>
      <c r="D19" s="130" t="s">
        <v>740</v>
      </c>
      <c r="E19" s="130" t="s">
        <v>15</v>
      </c>
      <c r="F19" s="130" t="s">
        <v>11</v>
      </c>
      <c r="G19" s="266">
        <v>30.821822999999998</v>
      </c>
      <c r="H19" s="266">
        <f>ZoneInondable2022!G843</f>
        <v>3.4873910000000001</v>
      </c>
      <c r="I19" s="131">
        <f t="shared" si="2"/>
        <v>34.309213999999997</v>
      </c>
      <c r="J19" s="131">
        <f>communesZI!K125</f>
        <v>22.997762641684879</v>
      </c>
      <c r="K19" s="131">
        <f>communesZI!L125</f>
        <v>11.31145135831512</v>
      </c>
      <c r="L19" s="131">
        <f t="shared" si="3"/>
        <v>34.309213999999997</v>
      </c>
    </row>
    <row r="20" spans="1:12" s="129" customFormat="1" x14ac:dyDescent="0.25">
      <c r="A20" s="130" t="s">
        <v>551</v>
      </c>
      <c r="B20" s="130" t="s">
        <v>552</v>
      </c>
      <c r="C20" s="130" t="s">
        <v>30</v>
      </c>
      <c r="D20" s="130" t="s">
        <v>732</v>
      </c>
      <c r="E20" s="130" t="s">
        <v>15</v>
      </c>
      <c r="F20" s="130" t="s">
        <v>11</v>
      </c>
      <c r="G20" s="266">
        <v>372.93646000000001</v>
      </c>
      <c r="H20" s="266">
        <f>ZoneInondable2022!G813</f>
        <v>3.8823677999999999</v>
      </c>
      <c r="I20" s="131">
        <f t="shared" si="2"/>
        <v>376.81882780000001</v>
      </c>
      <c r="J20" s="131">
        <f>communesZI!K55</f>
        <v>348.63444498849174</v>
      </c>
      <c r="K20" s="131">
        <f>communesZI!L55</f>
        <v>28.1843828115083</v>
      </c>
      <c r="L20" s="131">
        <f t="shared" si="3"/>
        <v>376.81882780000001</v>
      </c>
    </row>
    <row r="21" spans="1:12" s="129" customFormat="1" x14ac:dyDescent="0.25">
      <c r="A21" s="130" t="s">
        <v>78</v>
      </c>
      <c r="B21" s="130" t="s">
        <v>79</v>
      </c>
      <c r="C21" s="130" t="s">
        <v>80</v>
      </c>
      <c r="D21" s="130" t="s">
        <v>733</v>
      </c>
      <c r="E21" s="130" t="s">
        <v>15</v>
      </c>
      <c r="F21" s="130" t="s">
        <v>11</v>
      </c>
      <c r="G21" s="266">
        <v>305.15775000000002</v>
      </c>
      <c r="H21" s="266">
        <f>ZoneInondable2022!G709</f>
        <v>33.736409999999999</v>
      </c>
      <c r="I21" s="131">
        <f t="shared" si="2"/>
        <v>338.89416</v>
      </c>
      <c r="J21" s="131">
        <f>communesZI!K251</f>
        <v>177.224035462242</v>
      </c>
      <c r="K21" s="131">
        <f>communesZI!L251</f>
        <v>161.670124537758</v>
      </c>
      <c r="L21" s="131">
        <f t="shared" si="3"/>
        <v>338.89416</v>
      </c>
    </row>
    <row r="22" spans="1:12" s="129" customFormat="1" x14ac:dyDescent="0.25">
      <c r="A22" s="130" t="s">
        <v>281</v>
      </c>
      <c r="B22" s="130" t="s">
        <v>282</v>
      </c>
      <c r="C22" s="130" t="s">
        <v>30</v>
      </c>
      <c r="D22" s="130" t="s">
        <v>732</v>
      </c>
      <c r="E22" s="130" t="s">
        <v>15</v>
      </c>
      <c r="F22" s="130" t="s">
        <v>11</v>
      </c>
      <c r="G22" s="266">
        <v>524.64080000000001</v>
      </c>
      <c r="H22" s="266">
        <f>ZoneInondable2022!G493</f>
        <v>1.0876650999999999</v>
      </c>
      <c r="I22" s="131">
        <f t="shared" ref="I22:I23" si="4">G22+H22</f>
        <v>525.72846509999999</v>
      </c>
      <c r="J22" s="318">
        <f>communesZI!K48</f>
        <v>508.53422233618574</v>
      </c>
      <c r="K22" s="318">
        <f>communesZI!L48</f>
        <v>17.194242763814298</v>
      </c>
      <c r="L22" s="131">
        <f t="shared" si="3"/>
        <v>525.72846509999999</v>
      </c>
    </row>
    <row r="23" spans="1:12" s="129" customFormat="1" x14ac:dyDescent="0.25">
      <c r="A23" s="130" t="s">
        <v>165</v>
      </c>
      <c r="B23" s="130" t="s">
        <v>166</v>
      </c>
      <c r="C23" s="130" t="s">
        <v>30</v>
      </c>
      <c r="D23" s="130" t="s">
        <v>732</v>
      </c>
      <c r="E23" s="130" t="s">
        <v>15</v>
      </c>
      <c r="F23" s="130" t="s">
        <v>11</v>
      </c>
      <c r="G23" s="266">
        <v>82.663619999999995</v>
      </c>
      <c r="H23" s="266">
        <f>ZoneInondable2022!G80</f>
        <v>0.32166373999999998</v>
      </c>
      <c r="I23" s="131">
        <f t="shared" si="4"/>
        <v>82.98528374</v>
      </c>
      <c r="J23" s="131">
        <f>communesZI!K101</f>
        <v>53.312808467847489</v>
      </c>
      <c r="K23" s="131">
        <f>communesZI!L101</f>
        <v>29.672475272152504</v>
      </c>
      <c r="L23" s="131">
        <f t="shared" si="3"/>
        <v>82.98528374</v>
      </c>
    </row>
    <row r="24" spans="1:12" s="129" customFormat="1" x14ac:dyDescent="0.25">
      <c r="A24" s="130" t="s">
        <v>385</v>
      </c>
      <c r="B24" s="130" t="s">
        <v>386</v>
      </c>
      <c r="C24" s="130" t="s">
        <v>30</v>
      </c>
      <c r="D24" s="130" t="s">
        <v>732</v>
      </c>
      <c r="E24" s="130" t="s">
        <v>15</v>
      </c>
      <c r="F24" s="130" t="s">
        <v>11</v>
      </c>
      <c r="G24" s="266">
        <v>30.546669000000001</v>
      </c>
      <c r="H24" s="266"/>
      <c r="I24" s="131">
        <f t="shared" ref="I24:I33" si="5">G24+H24</f>
        <v>30.546669000000001</v>
      </c>
      <c r="J24" s="131">
        <f>communesZI!K176</f>
        <v>15.556007272945701</v>
      </c>
      <c r="K24" s="131">
        <f>communesZI!L176</f>
        <v>14.990661727054301</v>
      </c>
      <c r="L24" s="131">
        <f t="shared" si="3"/>
        <v>30.546669000000001</v>
      </c>
    </row>
    <row r="25" spans="1:12" s="129" customFormat="1" x14ac:dyDescent="0.25">
      <c r="A25" s="130" t="s">
        <v>95</v>
      </c>
      <c r="B25" s="130" t="s">
        <v>96</v>
      </c>
      <c r="C25" s="130" t="s">
        <v>30</v>
      </c>
      <c r="D25" s="130" t="s">
        <v>732</v>
      </c>
      <c r="E25" s="130" t="s">
        <v>15</v>
      </c>
      <c r="F25" s="130" t="s">
        <v>11</v>
      </c>
      <c r="G25" s="266">
        <v>183.86998</v>
      </c>
      <c r="H25" s="266">
        <f>ZoneInondable2022!G41</f>
        <v>1.1638386999999999</v>
      </c>
      <c r="I25" s="131">
        <f t="shared" si="5"/>
        <v>185.03381870000001</v>
      </c>
      <c r="J25" s="131">
        <f>communesZI!K187</f>
        <v>174.72934150301026</v>
      </c>
      <c r="K25" s="131">
        <f>communesZI!L187</f>
        <v>10.30447719698973</v>
      </c>
      <c r="L25" s="131">
        <f t="shared" si="3"/>
        <v>185.03381869999998</v>
      </c>
    </row>
    <row r="26" spans="1:12" s="129" customFormat="1" x14ac:dyDescent="0.25">
      <c r="A26" s="130" t="s">
        <v>179</v>
      </c>
      <c r="B26" s="130" t="s">
        <v>180</v>
      </c>
      <c r="C26" s="130" t="s">
        <v>30</v>
      </c>
      <c r="D26" s="130" t="s">
        <v>732</v>
      </c>
      <c r="E26" s="130" t="s">
        <v>15</v>
      </c>
      <c r="F26" s="130" t="s">
        <v>11</v>
      </c>
      <c r="G26" s="266">
        <v>85.567725999999993</v>
      </c>
      <c r="H26" s="266">
        <f>ZoneInondable2022!G89</f>
        <v>1.0358415999999999</v>
      </c>
      <c r="I26" s="131">
        <f t="shared" si="5"/>
        <v>86.603567599999991</v>
      </c>
      <c r="J26" s="131">
        <f>communesZI!K171</f>
        <v>26.920739504495096</v>
      </c>
      <c r="K26" s="131">
        <f>communesZI!L171</f>
        <v>59.682828095504895</v>
      </c>
      <c r="L26" s="131">
        <f t="shared" si="3"/>
        <v>86.603567599999991</v>
      </c>
    </row>
    <row r="27" spans="1:12" s="129" customFormat="1" x14ac:dyDescent="0.25">
      <c r="A27" s="130" t="s">
        <v>653</v>
      </c>
      <c r="B27" s="130" t="s">
        <v>654</v>
      </c>
      <c r="C27" s="130" t="s">
        <v>27</v>
      </c>
      <c r="D27" s="130" t="s">
        <v>738</v>
      </c>
      <c r="E27" s="130" t="s">
        <v>15</v>
      </c>
      <c r="F27" s="130" t="s">
        <v>11</v>
      </c>
      <c r="G27" s="266">
        <v>176.45605</v>
      </c>
      <c r="H27" s="266">
        <v>0</v>
      </c>
      <c r="I27" s="131">
        <f t="shared" si="5"/>
        <v>176.45605</v>
      </c>
      <c r="J27" s="131">
        <f>communesZI!K72</f>
        <v>156.4415994669825</v>
      </c>
      <c r="K27" s="131">
        <f>communesZI!L72</f>
        <v>20.014450533017499</v>
      </c>
      <c r="L27" s="131">
        <f t="shared" si="3"/>
        <v>176.45605</v>
      </c>
    </row>
    <row r="28" spans="1:12" s="129" customFormat="1" x14ac:dyDescent="0.25">
      <c r="A28" s="130" t="s">
        <v>682</v>
      </c>
      <c r="B28" s="130" t="s">
        <v>683</v>
      </c>
      <c r="C28" s="130" t="s">
        <v>30</v>
      </c>
      <c r="D28" s="130" t="s">
        <v>732</v>
      </c>
      <c r="E28" s="130" t="s">
        <v>15</v>
      </c>
      <c r="F28" s="130" t="s">
        <v>11</v>
      </c>
      <c r="G28" s="266">
        <v>63.242489999999997</v>
      </c>
      <c r="H28" s="266">
        <v>0</v>
      </c>
      <c r="I28" s="131">
        <f t="shared" si="5"/>
        <v>63.242489999999997</v>
      </c>
      <c r="J28" s="131">
        <f>communesZI!K156</f>
        <v>46.893713933085593</v>
      </c>
      <c r="K28" s="131">
        <f>communesZI!L156</f>
        <v>16.3487760669144</v>
      </c>
      <c r="L28" s="131">
        <f t="shared" si="3"/>
        <v>63.242489999999989</v>
      </c>
    </row>
    <row r="29" spans="1:12" s="129" customFormat="1" x14ac:dyDescent="0.25">
      <c r="A29" s="130" t="s">
        <v>53</v>
      </c>
      <c r="B29" s="130" t="s">
        <v>54</v>
      </c>
      <c r="C29" s="130" t="s">
        <v>30</v>
      </c>
      <c r="D29" s="130" t="s">
        <v>732</v>
      </c>
      <c r="E29" s="130" t="s">
        <v>15</v>
      </c>
      <c r="F29" s="130" t="s">
        <v>11</v>
      </c>
      <c r="G29" s="266">
        <v>63.849711999999997</v>
      </c>
      <c r="H29" s="266">
        <f>ZoneInondable2022!G20</f>
        <v>1.6272883</v>
      </c>
      <c r="I29" s="131">
        <f t="shared" si="5"/>
        <v>65.4770003</v>
      </c>
      <c r="J29" s="131">
        <f>communesZI!K257</f>
        <v>31.328522407802197</v>
      </c>
      <c r="K29" s="131">
        <f>communesZI!L257</f>
        <v>34.148477892197803</v>
      </c>
      <c r="L29" s="131">
        <f t="shared" si="3"/>
        <v>65.4770003</v>
      </c>
    </row>
    <row r="30" spans="1:12" s="129" customFormat="1" x14ac:dyDescent="0.25">
      <c r="A30" s="130" t="s">
        <v>694</v>
      </c>
      <c r="B30" s="130" t="s">
        <v>695</v>
      </c>
      <c r="C30" s="130" t="s">
        <v>30</v>
      </c>
      <c r="D30" s="130" t="s">
        <v>732</v>
      </c>
      <c r="E30" s="130" t="s">
        <v>15</v>
      </c>
      <c r="F30" s="130" t="s">
        <v>11</v>
      </c>
      <c r="G30" s="266">
        <v>225.23396</v>
      </c>
      <c r="H30" s="266">
        <f>ZoneInondable2022!G766</f>
        <v>2.7780649999999998</v>
      </c>
      <c r="I30" s="131">
        <f t="shared" si="5"/>
        <v>228.01202499999999</v>
      </c>
      <c r="J30" s="131">
        <f>communesZI!K100</f>
        <v>208.59194206780919</v>
      </c>
      <c r="K30" s="131">
        <f>communesZI!L100</f>
        <v>19.420082932190802</v>
      </c>
      <c r="L30" s="131">
        <f t="shared" si="3"/>
        <v>228.01202499999999</v>
      </c>
    </row>
    <row r="31" spans="1:12" s="129" customFormat="1" x14ac:dyDescent="0.25">
      <c r="A31" s="130" t="s">
        <v>692</v>
      </c>
      <c r="B31" s="130" t="s">
        <v>693</v>
      </c>
      <c r="C31" s="130" t="s">
        <v>30</v>
      </c>
      <c r="D31" s="130" t="s">
        <v>732</v>
      </c>
      <c r="E31" s="130" t="s">
        <v>15</v>
      </c>
      <c r="F31" s="130" t="s">
        <v>11</v>
      </c>
      <c r="G31" s="266">
        <v>44.734627000000003</v>
      </c>
      <c r="H31" s="266">
        <f>0</f>
        <v>0</v>
      </c>
      <c r="I31" s="131">
        <f t="shared" si="5"/>
        <v>44.734627000000003</v>
      </c>
      <c r="J31" s="131">
        <f>communesZI!K260</f>
        <v>25.107619807832705</v>
      </c>
      <c r="K31" s="131">
        <f>communesZI!L260</f>
        <v>19.627007192167298</v>
      </c>
      <c r="L31" s="131">
        <f t="shared" si="3"/>
        <v>44.734627000000003</v>
      </c>
    </row>
    <row r="32" spans="1:12" s="129" customFormat="1" x14ac:dyDescent="0.25">
      <c r="A32" s="130" t="s">
        <v>486</v>
      </c>
      <c r="B32" s="130" t="s">
        <v>487</v>
      </c>
      <c r="C32" s="130" t="s">
        <v>80</v>
      </c>
      <c r="D32" s="130" t="s">
        <v>733</v>
      </c>
      <c r="E32" s="130" t="s">
        <v>15</v>
      </c>
      <c r="F32" s="130" t="s">
        <v>11</v>
      </c>
      <c r="G32" s="266">
        <v>41.187686999999997</v>
      </c>
      <c r="H32" s="266">
        <v>0</v>
      </c>
      <c r="I32" s="131">
        <f t="shared" si="5"/>
        <v>41.187686999999997</v>
      </c>
      <c r="J32" s="131">
        <f>communesZI!K104</f>
        <v>17.603208382808194</v>
      </c>
      <c r="K32" s="131">
        <f>communesZI!L104</f>
        <v>23.584478617191802</v>
      </c>
      <c r="L32" s="131">
        <f t="shared" si="3"/>
        <v>41.187686999999997</v>
      </c>
    </row>
    <row r="33" spans="1:12" s="129" customFormat="1" x14ac:dyDescent="0.25">
      <c r="A33" s="130" t="s">
        <v>261</v>
      </c>
      <c r="B33" s="130" t="s">
        <v>262</v>
      </c>
      <c r="C33" s="130" t="s">
        <v>27</v>
      </c>
      <c r="D33" s="130" t="s">
        <v>738</v>
      </c>
      <c r="E33" s="130" t="s">
        <v>15</v>
      </c>
      <c r="F33" s="130" t="s">
        <v>11</v>
      </c>
      <c r="G33" s="266">
        <v>69.797966000000002</v>
      </c>
      <c r="H33" s="266">
        <f>ZoneInondable2022!G626</f>
        <v>0.15797041000000001</v>
      </c>
      <c r="I33" s="131">
        <f t="shared" si="5"/>
        <v>69.955936410000007</v>
      </c>
      <c r="J33" s="131">
        <f>communesZI!K158</f>
        <v>63.466173997531165</v>
      </c>
      <c r="K33" s="131">
        <f>communesZI!L158</f>
        <v>6.4897624124688402</v>
      </c>
      <c r="L33" s="131">
        <f t="shared" si="3"/>
        <v>69.955936410000007</v>
      </c>
    </row>
    <row r="35" spans="1:12" x14ac:dyDescent="0.25">
      <c r="G35" s="266">
        <f>SUM(G4:G33)</f>
        <v>5080.0664559999996</v>
      </c>
      <c r="H35" s="266">
        <f t="shared" ref="H35:L35" si="6">SUM(H4:H33)</f>
        <v>72.136486590000004</v>
      </c>
      <c r="I35" s="261">
        <f t="shared" si="6"/>
        <v>5152.2029425899982</v>
      </c>
      <c r="J35" s="266">
        <f t="shared" si="6"/>
        <v>4226.0743593278357</v>
      </c>
      <c r="K35" s="266">
        <f t="shared" si="6"/>
        <v>926.12858326216428</v>
      </c>
      <c r="L35" s="261">
        <f t="shared" si="6"/>
        <v>5152.2029425899982</v>
      </c>
    </row>
    <row r="37" spans="1:12" x14ac:dyDescent="0.25">
      <c r="G37" s="319">
        <f>G35-J35</f>
        <v>853.99209667216383</v>
      </c>
      <c r="H37" s="319">
        <f>K35-H35</f>
        <v>853.99209667216428</v>
      </c>
    </row>
    <row r="39" spans="1:12" x14ac:dyDescent="0.25">
      <c r="D39" s="1" t="s">
        <v>1148</v>
      </c>
    </row>
    <row r="40" spans="1:12" x14ac:dyDescent="0.25">
      <c r="D40" s="265" t="s">
        <v>1149</v>
      </c>
      <c r="E40" s="265">
        <f>9991.12158203125+2882.0400390625+9991.12158203125+13167972.0952148+1091.65625</f>
        <v>13191928.034667926</v>
      </c>
      <c r="F40" s="328">
        <f>E40/10000</f>
        <v>1319.1928034667926</v>
      </c>
      <c r="G40" s="130">
        <f>communesZI!F336-communesZI!L336-communesZI!M336</f>
        <v>1324.1942950781199</v>
      </c>
    </row>
    <row r="41" spans="1:12" x14ac:dyDescent="0.25">
      <c r="D41" s="1" t="s">
        <v>1150</v>
      </c>
      <c r="E41" s="1">
        <f>6.41064453125+556800.670898437+10.630859375+44.71728515625</f>
        <v>556862.42968749953</v>
      </c>
      <c r="F41" s="319">
        <f t="shared" ref="F41:F42" si="7">E41/10000</f>
        <v>55.686242968749951</v>
      </c>
    </row>
    <row r="42" spans="1:12" x14ac:dyDescent="0.25">
      <c r="D42" s="1" t="s">
        <v>1141</v>
      </c>
      <c r="E42" s="1">
        <f>54.06787109375+26.8408203125+332076.654785156</f>
        <v>332157.56347656227</v>
      </c>
      <c r="F42" s="319">
        <f t="shared" si="7"/>
        <v>33.215756347656225</v>
      </c>
    </row>
  </sheetData>
  <autoFilter ref="A1:I33" xr:uid="{55E026EE-5F5B-4AAB-9406-380A43573DDE}"/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C4A97-E992-4CEB-A219-F9C16BAA4096}">
  <dimension ref="A1:P1018"/>
  <sheetViews>
    <sheetView workbookViewId="0">
      <selection activeCell="I1023" sqref="I1023"/>
    </sheetView>
  </sheetViews>
  <sheetFormatPr baseColWidth="10" defaultRowHeight="15" x14ac:dyDescent="0.25"/>
  <cols>
    <col min="9" max="9" width="14.5703125" style="261" customWidth="1"/>
    <col min="11" max="11" width="22.7109375" customWidth="1"/>
    <col min="12" max="12" width="19.140625" customWidth="1"/>
    <col min="13" max="13" width="26.140625" customWidth="1"/>
    <col min="14" max="14" width="23" customWidth="1"/>
    <col min="15" max="15" width="23.7109375" customWidth="1"/>
  </cols>
  <sheetData>
    <row r="1" spans="1:15" x14ac:dyDescent="0.25">
      <c r="A1" s="1" t="s">
        <v>871</v>
      </c>
      <c r="B1" s="1" t="s">
        <v>872</v>
      </c>
      <c r="C1" s="1" t="s">
        <v>873</v>
      </c>
      <c r="D1" s="1" t="s">
        <v>874</v>
      </c>
      <c r="E1" s="1" t="s">
        <v>875</v>
      </c>
      <c r="F1" s="1" t="s">
        <v>876</v>
      </c>
      <c r="G1" s="1" t="s">
        <v>877</v>
      </c>
      <c r="H1" s="1" t="s">
        <v>878</v>
      </c>
      <c r="I1" s="261" t="s">
        <v>863</v>
      </c>
      <c r="J1" s="1" t="s">
        <v>0</v>
      </c>
      <c r="K1" s="1" t="s">
        <v>1</v>
      </c>
      <c r="L1" s="1" t="s">
        <v>2</v>
      </c>
      <c r="M1" s="1" t="s">
        <v>3</v>
      </c>
      <c r="N1" s="1" t="s">
        <v>4</v>
      </c>
      <c r="O1" s="1" t="s">
        <v>5</v>
      </c>
    </row>
    <row r="2" spans="1:15" s="28" customFormat="1" x14ac:dyDescent="0.25">
      <c r="A2" s="86">
        <v>1</v>
      </c>
      <c r="B2" s="86">
        <v>1</v>
      </c>
      <c r="C2" s="86" t="s">
        <v>1120</v>
      </c>
      <c r="D2" s="86">
        <v>2</v>
      </c>
      <c r="E2" s="86" t="s">
        <v>760</v>
      </c>
      <c r="F2" s="86">
        <v>0</v>
      </c>
      <c r="G2" s="86">
        <v>1</v>
      </c>
      <c r="H2" s="86">
        <v>1</v>
      </c>
      <c r="I2" s="87">
        <v>188221.49121093701</v>
      </c>
      <c r="J2" s="86" t="s">
        <v>143</v>
      </c>
      <c r="K2" s="86" t="s">
        <v>144</v>
      </c>
      <c r="L2" s="86" t="s">
        <v>63</v>
      </c>
      <c r="M2" s="86" t="s">
        <v>64</v>
      </c>
      <c r="N2" s="86" t="s">
        <v>726</v>
      </c>
      <c r="O2" s="86" t="s">
        <v>35</v>
      </c>
    </row>
    <row r="3" spans="1:15" s="28" customFormat="1" x14ac:dyDescent="0.25">
      <c r="A3" s="86">
        <v>1</v>
      </c>
      <c r="B3" s="86">
        <v>1</v>
      </c>
      <c r="C3" s="86" t="s">
        <v>1120</v>
      </c>
      <c r="D3" s="86">
        <v>2</v>
      </c>
      <c r="E3" s="86" t="s">
        <v>760</v>
      </c>
      <c r="F3" s="86">
        <v>0</v>
      </c>
      <c r="G3" s="86">
        <v>1</v>
      </c>
      <c r="H3" s="86">
        <v>1</v>
      </c>
      <c r="I3" s="87">
        <v>2928674.1782226502</v>
      </c>
      <c r="J3" s="86" t="s">
        <v>239</v>
      </c>
      <c r="K3" s="86" t="s">
        <v>240</v>
      </c>
      <c r="L3" s="86" t="s">
        <v>63</v>
      </c>
      <c r="M3" s="86" t="s">
        <v>64</v>
      </c>
      <c r="N3" s="86" t="s">
        <v>726</v>
      </c>
      <c r="O3" s="86" t="s">
        <v>35</v>
      </c>
    </row>
    <row r="4" spans="1:15" s="28" customFormat="1" x14ac:dyDescent="0.25">
      <c r="A4" s="86">
        <v>1</v>
      </c>
      <c r="B4" s="86">
        <v>1</v>
      </c>
      <c r="C4" s="86" t="s">
        <v>1120</v>
      </c>
      <c r="D4" s="86">
        <v>2</v>
      </c>
      <c r="E4" s="86" t="s">
        <v>760</v>
      </c>
      <c r="F4" s="86">
        <v>0</v>
      </c>
      <c r="G4" s="86">
        <v>1</v>
      </c>
      <c r="H4" s="86">
        <v>1</v>
      </c>
      <c r="I4" s="87">
        <v>624129.08203125</v>
      </c>
      <c r="J4" s="86" t="s">
        <v>482</v>
      </c>
      <c r="K4" s="86" t="s">
        <v>483</v>
      </c>
      <c r="L4" s="86" t="s">
        <v>63</v>
      </c>
      <c r="M4" s="86" t="s">
        <v>64</v>
      </c>
      <c r="N4" s="86" t="s">
        <v>726</v>
      </c>
      <c r="O4" s="86" t="s">
        <v>35</v>
      </c>
    </row>
    <row r="5" spans="1:15" s="28" customFormat="1" x14ac:dyDescent="0.25">
      <c r="A5" s="86">
        <v>1</v>
      </c>
      <c r="B5" s="86">
        <v>1</v>
      </c>
      <c r="C5" s="86" t="s">
        <v>1120</v>
      </c>
      <c r="D5" s="86">
        <v>2</v>
      </c>
      <c r="E5" s="86" t="s">
        <v>760</v>
      </c>
      <c r="F5" s="86">
        <v>0</v>
      </c>
      <c r="G5" s="86">
        <v>1</v>
      </c>
      <c r="H5" s="86">
        <v>1</v>
      </c>
      <c r="I5" s="87">
        <v>247239.873046875</v>
      </c>
      <c r="J5" s="86" t="s">
        <v>496</v>
      </c>
      <c r="K5" s="86" t="s">
        <v>497</v>
      </c>
      <c r="L5" s="86" t="s">
        <v>63</v>
      </c>
      <c r="M5" s="86" t="s">
        <v>64</v>
      </c>
      <c r="N5" s="86" t="s">
        <v>726</v>
      </c>
      <c r="O5" s="86" t="s">
        <v>35</v>
      </c>
    </row>
    <row r="6" spans="1:15" s="28" customFormat="1" x14ac:dyDescent="0.25">
      <c r="A6" s="86">
        <v>1</v>
      </c>
      <c r="B6" s="86">
        <v>1</v>
      </c>
      <c r="C6" s="86" t="s">
        <v>1120</v>
      </c>
      <c r="D6" s="86">
        <v>2</v>
      </c>
      <c r="E6" s="86" t="s">
        <v>760</v>
      </c>
      <c r="F6" s="86">
        <v>0</v>
      </c>
      <c r="G6" s="86">
        <v>1</v>
      </c>
      <c r="H6" s="86">
        <v>1</v>
      </c>
      <c r="I6" s="87">
        <v>111667.64404296799</v>
      </c>
      <c r="J6" s="86" t="s">
        <v>535</v>
      </c>
      <c r="K6" s="86" t="s">
        <v>536</v>
      </c>
      <c r="L6" s="86" t="s">
        <v>502</v>
      </c>
      <c r="M6" s="86" t="s">
        <v>736</v>
      </c>
      <c r="N6" s="86" t="s">
        <v>726</v>
      </c>
      <c r="O6" s="86" t="s">
        <v>35</v>
      </c>
    </row>
    <row r="7" spans="1:15" s="28" customFormat="1" x14ac:dyDescent="0.25">
      <c r="A7" s="86">
        <v>1</v>
      </c>
      <c r="B7" s="86">
        <v>1</v>
      </c>
      <c r="C7" s="86" t="s">
        <v>1120</v>
      </c>
      <c r="D7" s="86">
        <v>2</v>
      </c>
      <c r="E7" s="86" t="s">
        <v>760</v>
      </c>
      <c r="F7" s="86">
        <v>0</v>
      </c>
      <c r="G7" s="86">
        <v>1</v>
      </c>
      <c r="H7" s="86">
        <v>1</v>
      </c>
      <c r="I7" s="87">
        <v>3741138.17333984</v>
      </c>
      <c r="J7" s="86" t="s">
        <v>549</v>
      </c>
      <c r="K7" s="86" t="s">
        <v>550</v>
      </c>
      <c r="L7" s="86" t="s">
        <v>63</v>
      </c>
      <c r="M7" s="86" t="s">
        <v>64</v>
      </c>
      <c r="N7" s="86" t="s">
        <v>726</v>
      </c>
      <c r="O7" s="86" t="s">
        <v>35</v>
      </c>
    </row>
    <row r="8" spans="1:15" s="28" customFormat="1" x14ac:dyDescent="0.25">
      <c r="A8" s="86">
        <v>1</v>
      </c>
      <c r="B8" s="86">
        <v>1</v>
      </c>
      <c r="C8" s="86" t="s">
        <v>1120</v>
      </c>
      <c r="D8" s="86">
        <v>2</v>
      </c>
      <c r="E8" s="86" t="s">
        <v>760</v>
      </c>
      <c r="F8" s="86">
        <v>0</v>
      </c>
      <c r="G8" s="86">
        <v>1</v>
      </c>
      <c r="H8" s="86">
        <v>1</v>
      </c>
      <c r="I8" s="87">
        <v>1184568.54541015</v>
      </c>
      <c r="J8" s="86" t="s">
        <v>555</v>
      </c>
      <c r="K8" s="86" t="s">
        <v>556</v>
      </c>
      <c r="L8" s="86" t="s">
        <v>63</v>
      </c>
      <c r="M8" s="86" t="s">
        <v>64</v>
      </c>
      <c r="N8" s="86" t="s">
        <v>726</v>
      </c>
      <c r="O8" s="86" t="s">
        <v>35</v>
      </c>
    </row>
    <row r="9" spans="1:15" s="28" customFormat="1" x14ac:dyDescent="0.25">
      <c r="A9" s="86">
        <v>1</v>
      </c>
      <c r="B9" s="86">
        <v>1</v>
      </c>
      <c r="C9" s="86" t="s">
        <v>1120</v>
      </c>
      <c r="D9" s="86">
        <v>2</v>
      </c>
      <c r="E9" s="86" t="s">
        <v>760</v>
      </c>
      <c r="F9" s="86">
        <v>0</v>
      </c>
      <c r="G9" s="86">
        <v>1</v>
      </c>
      <c r="H9" s="86">
        <v>1</v>
      </c>
      <c r="I9" s="87">
        <v>252793.12353515599</v>
      </c>
      <c r="J9" s="86" t="s">
        <v>567</v>
      </c>
      <c r="K9" s="86" t="s">
        <v>568</v>
      </c>
      <c r="L9" s="86" t="s">
        <v>63</v>
      </c>
      <c r="M9" s="86" t="s">
        <v>64</v>
      </c>
      <c r="N9" s="86" t="s">
        <v>726</v>
      </c>
      <c r="O9" s="86" t="s">
        <v>35</v>
      </c>
    </row>
    <row r="10" spans="1:15" s="28" customFormat="1" x14ac:dyDescent="0.25">
      <c r="A10" s="86">
        <v>1</v>
      </c>
      <c r="B10" s="86">
        <v>1</v>
      </c>
      <c r="C10" s="86" t="s">
        <v>1120</v>
      </c>
      <c r="D10" s="86">
        <v>2</v>
      </c>
      <c r="E10" s="86" t="s">
        <v>760</v>
      </c>
      <c r="F10" s="86">
        <v>0</v>
      </c>
      <c r="G10" s="86">
        <v>1</v>
      </c>
      <c r="H10" s="86">
        <v>1</v>
      </c>
      <c r="I10" s="87">
        <v>15562.887207031201</v>
      </c>
      <c r="J10" s="86" t="s">
        <v>571</v>
      </c>
      <c r="K10" s="86" t="s">
        <v>572</v>
      </c>
      <c r="L10" s="86" t="s">
        <v>63</v>
      </c>
      <c r="M10" s="86" t="s">
        <v>64</v>
      </c>
      <c r="N10" s="86" t="s">
        <v>726</v>
      </c>
      <c r="O10" s="86" t="s">
        <v>35</v>
      </c>
    </row>
    <row r="11" spans="1:15" s="129" customFormat="1" x14ac:dyDescent="0.25">
      <c r="A11" s="130">
        <v>1</v>
      </c>
      <c r="B11" s="130">
        <v>1</v>
      </c>
      <c r="C11" s="130" t="s">
        <v>1120</v>
      </c>
      <c r="D11" s="130">
        <v>2</v>
      </c>
      <c r="E11" s="130" t="s">
        <v>760</v>
      </c>
      <c r="F11" s="130">
        <v>0</v>
      </c>
      <c r="G11" s="130">
        <v>1</v>
      </c>
      <c r="H11" s="130">
        <v>1</v>
      </c>
      <c r="I11" s="131">
        <v>1260674.25146484</v>
      </c>
      <c r="J11" s="130" t="s">
        <v>295</v>
      </c>
      <c r="K11" s="130" t="s">
        <v>296</v>
      </c>
      <c r="L11" s="130" t="s">
        <v>63</v>
      </c>
      <c r="M11" s="130" t="s">
        <v>64</v>
      </c>
      <c r="N11" s="130" t="s">
        <v>15</v>
      </c>
      <c r="O11" s="130" t="s">
        <v>77</v>
      </c>
    </row>
    <row r="12" spans="1:15" s="28" customFormat="1" x14ac:dyDescent="0.25">
      <c r="A12" s="86">
        <v>1</v>
      </c>
      <c r="B12" s="86">
        <v>1</v>
      </c>
      <c r="C12" s="86" t="s">
        <v>1120</v>
      </c>
      <c r="D12" s="86">
        <v>2</v>
      </c>
      <c r="E12" s="86" t="s">
        <v>760</v>
      </c>
      <c r="F12" s="86">
        <v>0</v>
      </c>
      <c r="G12" s="86">
        <v>1</v>
      </c>
      <c r="H12" s="86">
        <v>1</v>
      </c>
      <c r="I12" s="87">
        <v>104735.919921875</v>
      </c>
      <c r="J12" s="86" t="s">
        <v>295</v>
      </c>
      <c r="K12" s="86" t="s">
        <v>296</v>
      </c>
      <c r="L12" s="86" t="s">
        <v>63</v>
      </c>
      <c r="M12" s="86" t="s">
        <v>64</v>
      </c>
      <c r="N12" s="86" t="s">
        <v>726</v>
      </c>
      <c r="O12" s="86" t="s">
        <v>35</v>
      </c>
    </row>
    <row r="13" spans="1:15" s="28" customFormat="1" x14ac:dyDescent="0.25">
      <c r="A13" s="86">
        <v>1</v>
      </c>
      <c r="B13" s="86">
        <v>1</v>
      </c>
      <c r="C13" s="86" t="s">
        <v>1120</v>
      </c>
      <c r="D13" s="86">
        <v>2</v>
      </c>
      <c r="E13" s="86" t="s">
        <v>760</v>
      </c>
      <c r="F13" s="86">
        <v>0</v>
      </c>
      <c r="G13" s="86">
        <v>1</v>
      </c>
      <c r="H13" s="86">
        <v>1</v>
      </c>
      <c r="I13" s="87">
        <v>94301.561035156206</v>
      </c>
      <c r="J13" s="86" t="s">
        <v>555</v>
      </c>
      <c r="K13" s="86" t="s">
        <v>556</v>
      </c>
      <c r="L13" s="86" t="s">
        <v>63</v>
      </c>
      <c r="M13" s="86" t="s">
        <v>64</v>
      </c>
      <c r="N13" s="86" t="s">
        <v>726</v>
      </c>
      <c r="O13" s="86" t="s">
        <v>105</v>
      </c>
    </row>
    <row r="14" spans="1:15" s="28" customFormat="1" x14ac:dyDescent="0.25">
      <c r="A14" s="86">
        <v>1</v>
      </c>
      <c r="B14" s="86">
        <v>1</v>
      </c>
      <c r="C14" s="86" t="s">
        <v>1120</v>
      </c>
      <c r="D14" s="86">
        <v>2</v>
      </c>
      <c r="E14" s="86" t="s">
        <v>760</v>
      </c>
      <c r="F14" s="86">
        <v>0</v>
      </c>
      <c r="G14" s="86">
        <v>1</v>
      </c>
      <c r="H14" s="86">
        <v>1</v>
      </c>
      <c r="I14" s="87">
        <v>401562.83886718698</v>
      </c>
      <c r="J14" s="86" t="s">
        <v>663</v>
      </c>
      <c r="K14" s="86" t="s">
        <v>664</v>
      </c>
      <c r="L14" s="86" t="s">
        <v>63</v>
      </c>
      <c r="M14" s="86" t="s">
        <v>64</v>
      </c>
      <c r="N14" s="86" t="s">
        <v>726</v>
      </c>
      <c r="O14" s="86" t="s">
        <v>35</v>
      </c>
    </row>
    <row r="15" spans="1:15" s="264" customFormat="1" x14ac:dyDescent="0.25">
      <c r="A15" s="262">
        <v>1</v>
      </c>
      <c r="B15" s="262">
        <v>1</v>
      </c>
      <c r="C15" s="262" t="s">
        <v>1120</v>
      </c>
      <c r="D15" s="262">
        <v>2</v>
      </c>
      <c r="E15" s="262" t="s">
        <v>760</v>
      </c>
      <c r="F15" s="262">
        <v>0</v>
      </c>
      <c r="G15" s="262">
        <v>1</v>
      </c>
      <c r="H15" s="262">
        <v>1</v>
      </c>
      <c r="I15" s="263">
        <v>35265.8544921875</v>
      </c>
      <c r="J15" s="262" t="s">
        <v>295</v>
      </c>
      <c r="K15" s="262" t="s">
        <v>296</v>
      </c>
      <c r="L15" s="262" t="s">
        <v>63</v>
      </c>
      <c r="M15" s="262" t="s">
        <v>64</v>
      </c>
      <c r="N15" s="262" t="s">
        <v>727</v>
      </c>
      <c r="O15" s="262" t="s">
        <v>77</v>
      </c>
    </row>
    <row r="16" spans="1:15" s="129" customFormat="1" x14ac:dyDescent="0.25">
      <c r="A16" s="130">
        <v>2</v>
      </c>
      <c r="B16" s="130">
        <v>2</v>
      </c>
      <c r="C16" s="130" t="s">
        <v>1129</v>
      </c>
      <c r="D16" s="130">
        <v>3</v>
      </c>
      <c r="E16" s="130" t="s">
        <v>767</v>
      </c>
      <c r="F16" s="130">
        <v>0</v>
      </c>
      <c r="G16" s="130">
        <v>0</v>
      </c>
      <c r="H16" s="130">
        <v>0</v>
      </c>
      <c r="I16" s="131">
        <v>96635.9833984375</v>
      </c>
      <c r="J16" s="130" t="s">
        <v>295</v>
      </c>
      <c r="K16" s="130" t="s">
        <v>296</v>
      </c>
      <c r="L16" s="130" t="s">
        <v>63</v>
      </c>
      <c r="M16" s="130" t="s">
        <v>64</v>
      </c>
      <c r="N16" s="130" t="s">
        <v>15</v>
      </c>
      <c r="O16" s="130" t="s">
        <v>77</v>
      </c>
    </row>
    <row r="17" spans="1:15" s="264" customFormat="1" x14ac:dyDescent="0.25">
      <c r="A17" s="262">
        <v>2</v>
      </c>
      <c r="B17" s="262">
        <v>2</v>
      </c>
      <c r="C17" s="262" t="s">
        <v>1129</v>
      </c>
      <c r="D17" s="262">
        <v>3</v>
      </c>
      <c r="E17" s="262" t="s">
        <v>767</v>
      </c>
      <c r="F17" s="262">
        <v>0</v>
      </c>
      <c r="G17" s="262">
        <v>0</v>
      </c>
      <c r="H17" s="262">
        <v>0</v>
      </c>
      <c r="I17" s="263">
        <v>655.46923828125</v>
      </c>
      <c r="J17" s="262" t="s">
        <v>295</v>
      </c>
      <c r="K17" s="262" t="s">
        <v>296</v>
      </c>
      <c r="L17" s="262" t="s">
        <v>63</v>
      </c>
      <c r="M17" s="262" t="s">
        <v>64</v>
      </c>
      <c r="N17" s="262" t="s">
        <v>727</v>
      </c>
      <c r="O17" s="262" t="s">
        <v>77</v>
      </c>
    </row>
    <row r="18" spans="1:15" s="129" customFormat="1" x14ac:dyDescent="0.25">
      <c r="A18" s="130">
        <v>3</v>
      </c>
      <c r="B18" s="130">
        <v>3</v>
      </c>
      <c r="C18" s="130" t="s">
        <v>1122</v>
      </c>
      <c r="D18" s="130">
        <v>6</v>
      </c>
      <c r="E18" s="130" t="s">
        <v>765</v>
      </c>
      <c r="F18" s="130">
        <v>1</v>
      </c>
      <c r="G18" s="130">
        <v>1</v>
      </c>
      <c r="H18" s="130">
        <v>0</v>
      </c>
      <c r="I18" s="131">
        <v>305183.58251953102</v>
      </c>
      <c r="J18" s="130" t="s">
        <v>12</v>
      </c>
      <c r="K18" s="130" t="s">
        <v>13</v>
      </c>
      <c r="L18" s="130" t="s">
        <v>14</v>
      </c>
      <c r="M18" s="130" t="s">
        <v>740</v>
      </c>
      <c r="N18" s="130" t="s">
        <v>15</v>
      </c>
      <c r="O18" s="130" t="s">
        <v>11</v>
      </c>
    </row>
    <row r="19" spans="1:15" s="129" customFormat="1" x14ac:dyDescent="0.25">
      <c r="A19" s="130">
        <v>3</v>
      </c>
      <c r="B19" s="130">
        <v>3</v>
      </c>
      <c r="C19" s="130" t="s">
        <v>1122</v>
      </c>
      <c r="D19" s="130">
        <v>6</v>
      </c>
      <c r="E19" s="130" t="s">
        <v>765</v>
      </c>
      <c r="F19" s="130">
        <v>1</v>
      </c>
      <c r="G19" s="130">
        <v>1</v>
      </c>
      <c r="H19" s="130">
        <v>0</v>
      </c>
      <c r="I19" s="131">
        <v>1516483.96728515</v>
      </c>
      <c r="J19" s="130" t="s">
        <v>22</v>
      </c>
      <c r="K19" s="130" t="s">
        <v>23</v>
      </c>
      <c r="L19" s="130" t="s">
        <v>24</v>
      </c>
      <c r="M19" s="130" t="s">
        <v>735</v>
      </c>
      <c r="N19" s="130" t="s">
        <v>15</v>
      </c>
      <c r="O19" s="130" t="s">
        <v>11</v>
      </c>
    </row>
    <row r="20" spans="1:15" s="264" customFormat="1" x14ac:dyDescent="0.25">
      <c r="A20" s="262">
        <v>3</v>
      </c>
      <c r="B20" s="262">
        <v>3</v>
      </c>
      <c r="C20" s="262" t="s">
        <v>1122</v>
      </c>
      <c r="D20" s="262">
        <v>6</v>
      </c>
      <c r="E20" s="262" t="s">
        <v>765</v>
      </c>
      <c r="F20" s="262">
        <v>1</v>
      </c>
      <c r="G20" s="262">
        <v>1</v>
      </c>
      <c r="H20" s="262">
        <v>0</v>
      </c>
      <c r="I20" s="263">
        <v>369006.35400390602</v>
      </c>
      <c r="J20" s="262" t="s">
        <v>38</v>
      </c>
      <c r="K20" s="262" t="s">
        <v>39</v>
      </c>
      <c r="L20" s="262" t="s">
        <v>24</v>
      </c>
      <c r="M20" s="262" t="s">
        <v>735</v>
      </c>
      <c r="N20" s="262" t="s">
        <v>727</v>
      </c>
      <c r="O20" s="262" t="s">
        <v>11</v>
      </c>
    </row>
    <row r="21" spans="1:15" s="218" customFormat="1" x14ac:dyDescent="0.25">
      <c r="A21" s="265">
        <v>3</v>
      </c>
      <c r="B21" s="265">
        <v>3</v>
      </c>
      <c r="C21" s="265" t="s">
        <v>1122</v>
      </c>
      <c r="D21" s="265">
        <v>6</v>
      </c>
      <c r="E21" s="265" t="s">
        <v>765</v>
      </c>
      <c r="F21" s="265">
        <v>1</v>
      </c>
      <c r="G21" s="265">
        <v>1</v>
      </c>
      <c r="H21" s="265">
        <v>0</v>
      </c>
      <c r="I21" s="266">
        <v>387427.50390625</v>
      </c>
      <c r="J21" s="265" t="s">
        <v>42</v>
      </c>
      <c r="K21" s="265" t="s">
        <v>43</v>
      </c>
      <c r="L21" s="265" t="s">
        <v>30</v>
      </c>
      <c r="M21" s="265" t="s">
        <v>732</v>
      </c>
      <c r="N21" s="265" t="s">
        <v>728</v>
      </c>
      <c r="O21" s="265" t="s">
        <v>11</v>
      </c>
    </row>
    <row r="22" spans="1:15" s="129" customFormat="1" x14ac:dyDescent="0.25">
      <c r="A22" s="130">
        <v>3</v>
      </c>
      <c r="B22" s="130">
        <v>3</v>
      </c>
      <c r="C22" s="130" t="s">
        <v>1122</v>
      </c>
      <c r="D22" s="130">
        <v>6</v>
      </c>
      <c r="E22" s="130" t="s">
        <v>765</v>
      </c>
      <c r="F22" s="130">
        <v>1</v>
      </c>
      <c r="G22" s="130">
        <v>1</v>
      </c>
      <c r="H22" s="130">
        <v>0</v>
      </c>
      <c r="I22" s="131">
        <v>150.4609375</v>
      </c>
      <c r="J22" s="130" t="s">
        <v>49</v>
      </c>
      <c r="K22" s="130" t="s">
        <v>50</v>
      </c>
      <c r="L22" s="130" t="s">
        <v>30</v>
      </c>
      <c r="M22" s="130" t="s">
        <v>732</v>
      </c>
      <c r="N22" s="130" t="s">
        <v>15</v>
      </c>
      <c r="O22" s="130" t="s">
        <v>11</v>
      </c>
    </row>
    <row r="23" spans="1:15" s="129" customFormat="1" x14ac:dyDescent="0.25">
      <c r="A23" s="130">
        <v>3</v>
      </c>
      <c r="B23" s="130">
        <v>3</v>
      </c>
      <c r="C23" s="130" t="s">
        <v>1122</v>
      </c>
      <c r="D23" s="130">
        <v>6</v>
      </c>
      <c r="E23" s="130" t="s">
        <v>765</v>
      </c>
      <c r="F23" s="130">
        <v>1</v>
      </c>
      <c r="G23" s="130">
        <v>1</v>
      </c>
      <c r="H23" s="130">
        <v>0</v>
      </c>
      <c r="I23" s="131">
        <v>1828797.33105468</v>
      </c>
      <c r="J23" s="130" t="s">
        <v>51</v>
      </c>
      <c r="K23" s="130" t="s">
        <v>52</v>
      </c>
      <c r="L23" s="130" t="s">
        <v>14</v>
      </c>
      <c r="M23" s="130" t="s">
        <v>740</v>
      </c>
      <c r="N23" s="130" t="s">
        <v>15</v>
      </c>
      <c r="O23" s="130" t="s">
        <v>11</v>
      </c>
    </row>
    <row r="24" spans="1:15" s="218" customFormat="1" x14ac:dyDescent="0.25">
      <c r="A24" s="265">
        <v>3</v>
      </c>
      <c r="B24" s="265">
        <v>3</v>
      </c>
      <c r="C24" s="265" t="s">
        <v>1122</v>
      </c>
      <c r="D24" s="265">
        <v>6</v>
      </c>
      <c r="E24" s="265" t="s">
        <v>765</v>
      </c>
      <c r="F24" s="265">
        <v>1</v>
      </c>
      <c r="G24" s="265">
        <v>1</v>
      </c>
      <c r="H24" s="265">
        <v>0</v>
      </c>
      <c r="I24" s="266">
        <v>595775.97265625</v>
      </c>
      <c r="J24" s="265" t="s">
        <v>38</v>
      </c>
      <c r="K24" s="265" t="s">
        <v>39</v>
      </c>
      <c r="L24" s="265" t="s">
        <v>24</v>
      </c>
      <c r="M24" s="265" t="s">
        <v>735</v>
      </c>
      <c r="N24" s="265" t="s">
        <v>728</v>
      </c>
      <c r="O24" s="265" t="s">
        <v>11</v>
      </c>
    </row>
    <row r="25" spans="1:15" s="129" customFormat="1" x14ac:dyDescent="0.25">
      <c r="A25" s="130">
        <v>3</v>
      </c>
      <c r="B25" s="130">
        <v>3</v>
      </c>
      <c r="C25" s="130" t="s">
        <v>1122</v>
      </c>
      <c r="D25" s="130">
        <v>6</v>
      </c>
      <c r="E25" s="130" t="s">
        <v>765</v>
      </c>
      <c r="F25" s="130">
        <v>1</v>
      </c>
      <c r="G25" s="130">
        <v>1</v>
      </c>
      <c r="H25" s="130">
        <v>0</v>
      </c>
      <c r="I25" s="131">
        <v>2114196.76464843</v>
      </c>
      <c r="J25" s="130" t="s">
        <v>61</v>
      </c>
      <c r="K25" s="130" t="s">
        <v>62</v>
      </c>
      <c r="L25" s="130" t="s">
        <v>63</v>
      </c>
      <c r="M25" s="130" t="s">
        <v>64</v>
      </c>
      <c r="N25" s="130" t="s">
        <v>15</v>
      </c>
      <c r="O25" s="130" t="s">
        <v>11</v>
      </c>
    </row>
    <row r="26" spans="1:15" s="264" customFormat="1" x14ac:dyDescent="0.25">
      <c r="A26" s="262">
        <v>3</v>
      </c>
      <c r="B26" s="262">
        <v>3</v>
      </c>
      <c r="C26" s="262" t="s">
        <v>1122</v>
      </c>
      <c r="D26" s="262">
        <v>6</v>
      </c>
      <c r="E26" s="262" t="s">
        <v>765</v>
      </c>
      <c r="F26" s="262">
        <v>1</v>
      </c>
      <c r="G26" s="262">
        <v>1</v>
      </c>
      <c r="H26" s="262">
        <v>0</v>
      </c>
      <c r="I26" s="263">
        <v>19891.347167968699</v>
      </c>
      <c r="J26" s="262" t="s">
        <v>67</v>
      </c>
      <c r="K26" s="262" t="s">
        <v>68</v>
      </c>
      <c r="L26" s="262" t="s">
        <v>30</v>
      </c>
      <c r="M26" s="262" t="s">
        <v>732</v>
      </c>
      <c r="N26" s="262" t="s">
        <v>727</v>
      </c>
      <c r="O26" s="262" t="s">
        <v>11</v>
      </c>
    </row>
    <row r="27" spans="1:15" s="218" customFormat="1" x14ac:dyDescent="0.25">
      <c r="A27" s="265">
        <v>3</v>
      </c>
      <c r="B27" s="265">
        <v>3</v>
      </c>
      <c r="C27" s="265" t="s">
        <v>1122</v>
      </c>
      <c r="D27" s="265">
        <v>6</v>
      </c>
      <c r="E27" s="265" t="s">
        <v>765</v>
      </c>
      <c r="F27" s="265">
        <v>1</v>
      </c>
      <c r="G27" s="265">
        <v>1</v>
      </c>
      <c r="H27" s="265">
        <v>0</v>
      </c>
      <c r="I27" s="266">
        <v>177534.041015625</v>
      </c>
      <c r="J27" s="265" t="s">
        <v>69</v>
      </c>
      <c r="K27" s="265" t="s">
        <v>70</v>
      </c>
      <c r="L27" s="265" t="s">
        <v>14</v>
      </c>
      <c r="M27" s="265" t="s">
        <v>740</v>
      </c>
      <c r="N27" s="265" t="s">
        <v>728</v>
      </c>
      <c r="O27" s="265" t="s">
        <v>11</v>
      </c>
    </row>
    <row r="28" spans="1:15" s="129" customFormat="1" x14ac:dyDescent="0.25">
      <c r="A28" s="130">
        <v>3</v>
      </c>
      <c r="B28" s="130">
        <v>3</v>
      </c>
      <c r="C28" s="130" t="s">
        <v>1122</v>
      </c>
      <c r="D28" s="130">
        <v>6</v>
      </c>
      <c r="E28" s="130" t="s">
        <v>765</v>
      </c>
      <c r="F28" s="130">
        <v>1</v>
      </c>
      <c r="G28" s="130">
        <v>1</v>
      </c>
      <c r="H28" s="130">
        <v>0</v>
      </c>
      <c r="I28" s="131">
        <v>379489.99707031198</v>
      </c>
      <c r="J28" s="130" t="s">
        <v>71</v>
      </c>
      <c r="K28" s="130" t="s">
        <v>72</v>
      </c>
      <c r="L28" s="130" t="s">
        <v>63</v>
      </c>
      <c r="M28" s="130" t="s">
        <v>64</v>
      </c>
      <c r="N28" s="130" t="s">
        <v>15</v>
      </c>
      <c r="O28" s="130" t="s">
        <v>11</v>
      </c>
    </row>
    <row r="29" spans="1:15" s="129" customFormat="1" x14ac:dyDescent="0.25">
      <c r="A29" s="130">
        <v>3</v>
      </c>
      <c r="B29" s="130">
        <v>3</v>
      </c>
      <c r="C29" s="130" t="s">
        <v>1122</v>
      </c>
      <c r="D29" s="130">
        <v>6</v>
      </c>
      <c r="E29" s="130" t="s">
        <v>765</v>
      </c>
      <c r="F29" s="130">
        <v>1</v>
      </c>
      <c r="G29" s="130">
        <v>1</v>
      </c>
      <c r="H29" s="130">
        <v>0</v>
      </c>
      <c r="I29" s="131">
        <v>390868.48828125</v>
      </c>
      <c r="J29" s="130" t="s">
        <v>81</v>
      </c>
      <c r="K29" s="130" t="s">
        <v>82</v>
      </c>
      <c r="L29" s="130" t="s">
        <v>14</v>
      </c>
      <c r="M29" s="130" t="s">
        <v>740</v>
      </c>
      <c r="N29" s="130" t="s">
        <v>15</v>
      </c>
      <c r="O29" s="130" t="s">
        <v>11</v>
      </c>
    </row>
    <row r="30" spans="1:15" s="218" customFormat="1" x14ac:dyDescent="0.25">
      <c r="A30" s="265">
        <v>3</v>
      </c>
      <c r="B30" s="265">
        <v>3</v>
      </c>
      <c r="C30" s="265" t="s">
        <v>1122</v>
      </c>
      <c r="D30" s="265">
        <v>6</v>
      </c>
      <c r="E30" s="265" t="s">
        <v>765</v>
      </c>
      <c r="F30" s="265">
        <v>1</v>
      </c>
      <c r="G30" s="265">
        <v>1</v>
      </c>
      <c r="H30" s="265">
        <v>0</v>
      </c>
      <c r="I30" s="266">
        <v>371141.99316406198</v>
      </c>
      <c r="J30" s="265" t="s">
        <v>81</v>
      </c>
      <c r="K30" s="265" t="s">
        <v>82</v>
      </c>
      <c r="L30" s="265" t="s">
        <v>14</v>
      </c>
      <c r="M30" s="265" t="s">
        <v>740</v>
      </c>
      <c r="N30" s="265" t="s">
        <v>728</v>
      </c>
      <c r="O30" s="265" t="s">
        <v>11</v>
      </c>
    </row>
    <row r="31" spans="1:15" s="129" customFormat="1" x14ac:dyDescent="0.25">
      <c r="A31" s="130">
        <v>3</v>
      </c>
      <c r="B31" s="130">
        <v>3</v>
      </c>
      <c r="C31" s="130" t="s">
        <v>1122</v>
      </c>
      <c r="D31" s="130">
        <v>6</v>
      </c>
      <c r="E31" s="130" t="s">
        <v>765</v>
      </c>
      <c r="F31" s="130">
        <v>1</v>
      </c>
      <c r="G31" s="130">
        <v>1</v>
      </c>
      <c r="H31" s="130">
        <v>0</v>
      </c>
      <c r="I31" s="131">
        <v>429139.681640625</v>
      </c>
      <c r="J31" s="130" t="s">
        <v>106</v>
      </c>
      <c r="K31" s="130" t="s">
        <v>107</v>
      </c>
      <c r="L31" s="130" t="s">
        <v>30</v>
      </c>
      <c r="M31" s="130" t="s">
        <v>732</v>
      </c>
      <c r="N31" s="130" t="s">
        <v>15</v>
      </c>
      <c r="O31" s="130" t="s">
        <v>11</v>
      </c>
    </row>
    <row r="32" spans="1:15" s="218" customFormat="1" x14ac:dyDescent="0.25">
      <c r="A32" s="265">
        <v>3</v>
      </c>
      <c r="B32" s="265">
        <v>3</v>
      </c>
      <c r="C32" s="265" t="s">
        <v>1122</v>
      </c>
      <c r="D32" s="265">
        <v>6</v>
      </c>
      <c r="E32" s="265" t="s">
        <v>765</v>
      </c>
      <c r="F32" s="265">
        <v>1</v>
      </c>
      <c r="G32" s="265">
        <v>1</v>
      </c>
      <c r="H32" s="265">
        <v>0</v>
      </c>
      <c r="I32" s="266">
        <v>126944.559082031</v>
      </c>
      <c r="J32" s="265" t="s">
        <v>110</v>
      </c>
      <c r="K32" s="265" t="s">
        <v>111</v>
      </c>
      <c r="L32" s="265" t="s">
        <v>30</v>
      </c>
      <c r="M32" s="265" t="s">
        <v>732</v>
      </c>
      <c r="N32" s="265" t="s">
        <v>728</v>
      </c>
      <c r="O32" s="265" t="s">
        <v>11</v>
      </c>
    </row>
    <row r="33" spans="1:15" s="218" customFormat="1" x14ac:dyDescent="0.25">
      <c r="A33" s="265">
        <v>3</v>
      </c>
      <c r="B33" s="265">
        <v>3</v>
      </c>
      <c r="C33" s="265" t="s">
        <v>1122</v>
      </c>
      <c r="D33" s="265">
        <v>6</v>
      </c>
      <c r="E33" s="265" t="s">
        <v>765</v>
      </c>
      <c r="F33" s="265">
        <v>1</v>
      </c>
      <c r="G33" s="265">
        <v>1</v>
      </c>
      <c r="H33" s="265">
        <v>0</v>
      </c>
      <c r="I33" s="266">
        <v>626817.6328125</v>
      </c>
      <c r="J33" s="265" t="s">
        <v>118</v>
      </c>
      <c r="K33" s="265" t="s">
        <v>119</v>
      </c>
      <c r="L33" s="265" t="s">
        <v>24</v>
      </c>
      <c r="M33" s="265" t="s">
        <v>735</v>
      </c>
      <c r="N33" s="265" t="s">
        <v>728</v>
      </c>
      <c r="O33" s="265" t="s">
        <v>11</v>
      </c>
    </row>
    <row r="34" spans="1:15" s="129" customFormat="1" x14ac:dyDescent="0.25">
      <c r="A34" s="130">
        <v>3</v>
      </c>
      <c r="B34" s="130">
        <v>3</v>
      </c>
      <c r="C34" s="130" t="s">
        <v>1122</v>
      </c>
      <c r="D34" s="130">
        <v>6</v>
      </c>
      <c r="E34" s="130" t="s">
        <v>765</v>
      </c>
      <c r="F34" s="130">
        <v>1</v>
      </c>
      <c r="G34" s="130">
        <v>1</v>
      </c>
      <c r="H34" s="130">
        <v>0</v>
      </c>
      <c r="I34" s="131">
        <v>2181582.6801757799</v>
      </c>
      <c r="J34" s="130" t="s">
        <v>151</v>
      </c>
      <c r="K34" s="130" t="s">
        <v>152</v>
      </c>
      <c r="L34" s="130" t="s">
        <v>24</v>
      </c>
      <c r="M34" s="130" t="s">
        <v>735</v>
      </c>
      <c r="N34" s="130" t="s">
        <v>15</v>
      </c>
      <c r="O34" s="130" t="s">
        <v>11</v>
      </c>
    </row>
    <row r="35" spans="1:15" s="264" customFormat="1" x14ac:dyDescent="0.25">
      <c r="A35" s="262">
        <v>3</v>
      </c>
      <c r="B35" s="262">
        <v>3</v>
      </c>
      <c r="C35" s="262" t="s">
        <v>1122</v>
      </c>
      <c r="D35" s="262">
        <v>6</v>
      </c>
      <c r="E35" s="262" t="s">
        <v>765</v>
      </c>
      <c r="F35" s="262">
        <v>1</v>
      </c>
      <c r="G35" s="262">
        <v>1</v>
      </c>
      <c r="H35" s="262">
        <v>0</v>
      </c>
      <c r="I35" s="263">
        <v>379416.78613281198</v>
      </c>
      <c r="J35" s="262" t="s">
        <v>183</v>
      </c>
      <c r="K35" s="262" t="s">
        <v>184</v>
      </c>
      <c r="L35" s="262" t="s">
        <v>24</v>
      </c>
      <c r="M35" s="262" t="s">
        <v>735</v>
      </c>
      <c r="N35" s="262" t="s">
        <v>727</v>
      </c>
      <c r="O35" s="262" t="s">
        <v>11</v>
      </c>
    </row>
    <row r="36" spans="1:15" s="264" customFormat="1" x14ac:dyDescent="0.25">
      <c r="A36" s="262">
        <v>3</v>
      </c>
      <c r="B36" s="262">
        <v>3</v>
      </c>
      <c r="C36" s="262" t="s">
        <v>1122</v>
      </c>
      <c r="D36" s="262">
        <v>6</v>
      </c>
      <c r="E36" s="262" t="s">
        <v>765</v>
      </c>
      <c r="F36" s="262">
        <v>1</v>
      </c>
      <c r="G36" s="262">
        <v>1</v>
      </c>
      <c r="H36" s="262">
        <v>0</v>
      </c>
      <c r="I36" s="263">
        <v>205917.00927734299</v>
      </c>
      <c r="J36" s="262" t="s">
        <v>118</v>
      </c>
      <c r="K36" s="262" t="s">
        <v>119</v>
      </c>
      <c r="L36" s="262" t="s">
        <v>24</v>
      </c>
      <c r="M36" s="262" t="s">
        <v>735</v>
      </c>
      <c r="N36" s="262" t="s">
        <v>727</v>
      </c>
      <c r="O36" s="262" t="s">
        <v>11</v>
      </c>
    </row>
    <row r="37" spans="1:15" s="218" customFormat="1" x14ac:dyDescent="0.25">
      <c r="A37" s="265">
        <v>3</v>
      </c>
      <c r="B37" s="265">
        <v>3</v>
      </c>
      <c r="C37" s="265" t="s">
        <v>1122</v>
      </c>
      <c r="D37" s="265">
        <v>6</v>
      </c>
      <c r="E37" s="265" t="s">
        <v>765</v>
      </c>
      <c r="F37" s="265">
        <v>1</v>
      </c>
      <c r="G37" s="265">
        <v>1</v>
      </c>
      <c r="H37" s="265">
        <v>0</v>
      </c>
      <c r="I37" s="266">
        <v>177336.333984375</v>
      </c>
      <c r="J37" s="265" t="s">
        <v>12</v>
      </c>
      <c r="K37" s="265" t="s">
        <v>13</v>
      </c>
      <c r="L37" s="265" t="s">
        <v>14</v>
      </c>
      <c r="M37" s="265" t="s">
        <v>740</v>
      </c>
      <c r="N37" s="265" t="s">
        <v>728</v>
      </c>
      <c r="O37" s="265" t="s">
        <v>11</v>
      </c>
    </row>
    <row r="38" spans="1:15" s="129" customFormat="1" x14ac:dyDescent="0.25">
      <c r="A38" s="130">
        <v>3</v>
      </c>
      <c r="B38" s="130">
        <v>3</v>
      </c>
      <c r="C38" s="130" t="s">
        <v>1122</v>
      </c>
      <c r="D38" s="130">
        <v>6</v>
      </c>
      <c r="E38" s="130" t="s">
        <v>765</v>
      </c>
      <c r="F38" s="130">
        <v>1</v>
      </c>
      <c r="G38" s="130">
        <v>1</v>
      </c>
      <c r="H38" s="130">
        <v>0</v>
      </c>
      <c r="I38" s="131">
        <v>252514.73193359299</v>
      </c>
      <c r="J38" s="130" t="s">
        <v>211</v>
      </c>
      <c r="K38" s="130" t="s">
        <v>212</v>
      </c>
      <c r="L38" s="130" t="s">
        <v>30</v>
      </c>
      <c r="M38" s="130" t="s">
        <v>732</v>
      </c>
      <c r="N38" s="130" t="s">
        <v>15</v>
      </c>
      <c r="O38" s="130" t="s">
        <v>11</v>
      </c>
    </row>
    <row r="39" spans="1:15" s="218" customFormat="1" x14ac:dyDescent="0.25">
      <c r="A39" s="265">
        <v>3</v>
      </c>
      <c r="B39" s="265">
        <v>3</v>
      </c>
      <c r="C39" s="265" t="s">
        <v>1122</v>
      </c>
      <c r="D39" s="265">
        <v>6</v>
      </c>
      <c r="E39" s="265" t="s">
        <v>765</v>
      </c>
      <c r="F39" s="265">
        <v>1</v>
      </c>
      <c r="G39" s="265">
        <v>1</v>
      </c>
      <c r="H39" s="265">
        <v>0</v>
      </c>
      <c r="I39" s="266">
        <v>33111.6845703125</v>
      </c>
      <c r="J39" s="265" t="s">
        <v>213</v>
      </c>
      <c r="K39" s="265" t="s">
        <v>214</v>
      </c>
      <c r="L39" s="265" t="s">
        <v>24</v>
      </c>
      <c r="M39" s="265" t="s">
        <v>735</v>
      </c>
      <c r="N39" s="265" t="s">
        <v>728</v>
      </c>
      <c r="O39" s="265" t="s">
        <v>11</v>
      </c>
    </row>
    <row r="40" spans="1:15" s="129" customFormat="1" x14ac:dyDescent="0.25">
      <c r="A40" s="130">
        <v>3</v>
      </c>
      <c r="B40" s="130">
        <v>3</v>
      </c>
      <c r="C40" s="130" t="s">
        <v>1122</v>
      </c>
      <c r="D40" s="130">
        <v>6</v>
      </c>
      <c r="E40" s="130" t="s">
        <v>765</v>
      </c>
      <c r="F40" s="130">
        <v>1</v>
      </c>
      <c r="G40" s="130">
        <v>1</v>
      </c>
      <c r="H40" s="130">
        <v>0</v>
      </c>
      <c r="I40" s="131">
        <v>3071449.98583984</v>
      </c>
      <c r="J40" s="130" t="s">
        <v>215</v>
      </c>
      <c r="K40" s="130" t="s">
        <v>216</v>
      </c>
      <c r="L40" s="130" t="s">
        <v>63</v>
      </c>
      <c r="M40" s="130" t="s">
        <v>64</v>
      </c>
      <c r="N40" s="130" t="s">
        <v>15</v>
      </c>
      <c r="O40" s="130" t="s">
        <v>11</v>
      </c>
    </row>
    <row r="41" spans="1:15" s="129" customFormat="1" x14ac:dyDescent="0.25">
      <c r="A41" s="130">
        <v>3</v>
      </c>
      <c r="B41" s="130">
        <v>3</v>
      </c>
      <c r="C41" s="130" t="s">
        <v>1122</v>
      </c>
      <c r="D41" s="130">
        <v>6</v>
      </c>
      <c r="E41" s="130" t="s">
        <v>765</v>
      </c>
      <c r="F41" s="130">
        <v>1</v>
      </c>
      <c r="G41" s="130">
        <v>1</v>
      </c>
      <c r="H41" s="130">
        <v>0</v>
      </c>
      <c r="I41" s="131">
        <v>2370431.6767578102</v>
      </c>
      <c r="J41" s="130" t="s">
        <v>231</v>
      </c>
      <c r="K41" s="130" t="s">
        <v>232</v>
      </c>
      <c r="L41" s="130" t="s">
        <v>63</v>
      </c>
      <c r="M41" s="130" t="s">
        <v>64</v>
      </c>
      <c r="N41" s="130" t="s">
        <v>15</v>
      </c>
      <c r="O41" s="130" t="s">
        <v>11</v>
      </c>
    </row>
    <row r="42" spans="1:15" s="264" customFormat="1" x14ac:dyDescent="0.25">
      <c r="A42" s="262">
        <v>3</v>
      </c>
      <c r="B42" s="262">
        <v>3</v>
      </c>
      <c r="C42" s="262" t="s">
        <v>1122</v>
      </c>
      <c r="D42" s="262">
        <v>6</v>
      </c>
      <c r="E42" s="262" t="s">
        <v>765</v>
      </c>
      <c r="F42" s="262">
        <v>1</v>
      </c>
      <c r="G42" s="262">
        <v>1</v>
      </c>
      <c r="H42" s="262">
        <v>0</v>
      </c>
      <c r="I42" s="263">
        <v>54751.046875</v>
      </c>
      <c r="J42" s="262" t="s">
        <v>12</v>
      </c>
      <c r="K42" s="262" t="s">
        <v>13</v>
      </c>
      <c r="L42" s="262" t="s">
        <v>14</v>
      </c>
      <c r="M42" s="262" t="s">
        <v>740</v>
      </c>
      <c r="N42" s="262" t="s">
        <v>727</v>
      </c>
      <c r="O42" s="262" t="s">
        <v>11</v>
      </c>
    </row>
    <row r="43" spans="1:15" s="218" customFormat="1" x14ac:dyDescent="0.25">
      <c r="A43" s="265">
        <v>3</v>
      </c>
      <c r="B43" s="265">
        <v>3</v>
      </c>
      <c r="C43" s="265" t="s">
        <v>1122</v>
      </c>
      <c r="D43" s="265">
        <v>6</v>
      </c>
      <c r="E43" s="265" t="s">
        <v>765</v>
      </c>
      <c r="F43" s="265">
        <v>1</v>
      </c>
      <c r="G43" s="265">
        <v>1</v>
      </c>
      <c r="H43" s="265">
        <v>0</v>
      </c>
      <c r="I43" s="266">
        <v>574920.966796875</v>
      </c>
      <c r="J43" s="265" t="s">
        <v>253</v>
      </c>
      <c r="K43" s="265" t="s">
        <v>254</v>
      </c>
      <c r="L43" s="265" t="s">
        <v>30</v>
      </c>
      <c r="M43" s="265" t="s">
        <v>732</v>
      </c>
      <c r="N43" s="265" t="s">
        <v>728</v>
      </c>
      <c r="O43" s="265" t="s">
        <v>11</v>
      </c>
    </row>
    <row r="44" spans="1:15" s="264" customFormat="1" x14ac:dyDescent="0.25">
      <c r="A44" s="262">
        <v>3</v>
      </c>
      <c r="B44" s="262">
        <v>3</v>
      </c>
      <c r="C44" s="262" t="s">
        <v>1122</v>
      </c>
      <c r="D44" s="262">
        <v>6</v>
      </c>
      <c r="E44" s="262" t="s">
        <v>765</v>
      </c>
      <c r="F44" s="262">
        <v>1</v>
      </c>
      <c r="G44" s="262">
        <v>1</v>
      </c>
      <c r="H44" s="262">
        <v>0</v>
      </c>
      <c r="I44" s="263">
        <v>98780.203125</v>
      </c>
      <c r="J44" s="262" t="s">
        <v>257</v>
      </c>
      <c r="K44" s="262" t="s">
        <v>258</v>
      </c>
      <c r="L44" s="262" t="s">
        <v>14</v>
      </c>
      <c r="M44" s="262" t="s">
        <v>740</v>
      </c>
      <c r="N44" s="262" t="s">
        <v>727</v>
      </c>
      <c r="O44" s="262" t="s">
        <v>11</v>
      </c>
    </row>
    <row r="45" spans="1:15" s="129" customFormat="1" x14ac:dyDescent="0.25">
      <c r="A45" s="130">
        <v>3</v>
      </c>
      <c r="B45" s="130">
        <v>3</v>
      </c>
      <c r="C45" s="130" t="s">
        <v>1122</v>
      </c>
      <c r="D45" s="130">
        <v>6</v>
      </c>
      <c r="E45" s="130" t="s">
        <v>765</v>
      </c>
      <c r="F45" s="130">
        <v>1</v>
      </c>
      <c r="G45" s="130">
        <v>1</v>
      </c>
      <c r="H45" s="130">
        <v>0</v>
      </c>
      <c r="I45" s="131">
        <v>632367.11474609305</v>
      </c>
      <c r="J45" s="130" t="s">
        <v>263</v>
      </c>
      <c r="K45" s="130" t="s">
        <v>264</v>
      </c>
      <c r="L45" s="130" t="s">
        <v>30</v>
      </c>
      <c r="M45" s="130" t="s">
        <v>732</v>
      </c>
      <c r="N45" s="130" t="s">
        <v>15</v>
      </c>
      <c r="O45" s="130" t="s">
        <v>11</v>
      </c>
    </row>
    <row r="46" spans="1:15" s="264" customFormat="1" x14ac:dyDescent="0.25">
      <c r="A46" s="262">
        <v>3</v>
      </c>
      <c r="B46" s="262">
        <v>3</v>
      </c>
      <c r="C46" s="262" t="s">
        <v>1122</v>
      </c>
      <c r="D46" s="262">
        <v>6</v>
      </c>
      <c r="E46" s="262" t="s">
        <v>765</v>
      </c>
      <c r="F46" s="262">
        <v>1</v>
      </c>
      <c r="G46" s="262">
        <v>1</v>
      </c>
      <c r="H46" s="262">
        <v>0</v>
      </c>
      <c r="I46" s="263">
        <v>175325.02587890599</v>
      </c>
      <c r="J46" s="262" t="s">
        <v>265</v>
      </c>
      <c r="K46" s="262" t="s">
        <v>266</v>
      </c>
      <c r="L46" s="262" t="s">
        <v>63</v>
      </c>
      <c r="M46" s="262" t="s">
        <v>64</v>
      </c>
      <c r="N46" s="262" t="s">
        <v>727</v>
      </c>
      <c r="O46" s="262" t="s">
        <v>11</v>
      </c>
    </row>
    <row r="47" spans="1:15" s="129" customFormat="1" x14ac:dyDescent="0.25">
      <c r="A47" s="130">
        <v>3</v>
      </c>
      <c r="B47" s="130">
        <v>3</v>
      </c>
      <c r="C47" s="130" t="s">
        <v>1122</v>
      </c>
      <c r="D47" s="130">
        <v>6</v>
      </c>
      <c r="E47" s="130" t="s">
        <v>765</v>
      </c>
      <c r="F47" s="130">
        <v>1</v>
      </c>
      <c r="G47" s="130">
        <v>1</v>
      </c>
      <c r="H47" s="130">
        <v>0</v>
      </c>
      <c r="I47" s="131">
        <v>659763.2265625</v>
      </c>
      <c r="J47" s="130" t="s">
        <v>267</v>
      </c>
      <c r="K47" s="130" t="s">
        <v>268</v>
      </c>
      <c r="L47" s="130" t="s">
        <v>14</v>
      </c>
      <c r="M47" s="130" t="s">
        <v>740</v>
      </c>
      <c r="N47" s="130" t="s">
        <v>15</v>
      </c>
      <c r="O47" s="130" t="s">
        <v>11</v>
      </c>
    </row>
    <row r="48" spans="1:15" s="129" customFormat="1" x14ac:dyDescent="0.25">
      <c r="A48" s="130">
        <v>3</v>
      </c>
      <c r="B48" s="130">
        <v>3</v>
      </c>
      <c r="C48" s="130" t="s">
        <v>1122</v>
      </c>
      <c r="D48" s="130">
        <v>6</v>
      </c>
      <c r="E48" s="130" t="s">
        <v>765</v>
      </c>
      <c r="F48" s="130">
        <v>1</v>
      </c>
      <c r="G48" s="130">
        <v>1</v>
      </c>
      <c r="H48" s="130">
        <v>0</v>
      </c>
      <c r="I48" s="131">
        <v>523.63427734375</v>
      </c>
      <c r="J48" s="130" t="s">
        <v>271</v>
      </c>
      <c r="K48" s="130" t="s">
        <v>272</v>
      </c>
      <c r="L48" s="130" t="s">
        <v>63</v>
      </c>
      <c r="M48" s="130" t="s">
        <v>64</v>
      </c>
      <c r="N48" s="130" t="s">
        <v>15</v>
      </c>
      <c r="O48" s="130" t="s">
        <v>11</v>
      </c>
    </row>
    <row r="49" spans="1:15" s="218" customFormat="1" x14ac:dyDescent="0.25">
      <c r="A49" s="265">
        <v>3</v>
      </c>
      <c r="B49" s="265">
        <v>3</v>
      </c>
      <c r="C49" s="265" t="s">
        <v>1122</v>
      </c>
      <c r="D49" s="265">
        <v>6</v>
      </c>
      <c r="E49" s="265" t="s">
        <v>765</v>
      </c>
      <c r="F49" s="265">
        <v>1</v>
      </c>
      <c r="G49" s="265">
        <v>1</v>
      </c>
      <c r="H49" s="265">
        <v>0</v>
      </c>
      <c r="I49" s="266">
        <v>183005.80957031201</v>
      </c>
      <c r="J49" s="265" t="s">
        <v>275</v>
      </c>
      <c r="K49" s="265" t="s">
        <v>276</v>
      </c>
      <c r="L49" s="265" t="s">
        <v>63</v>
      </c>
      <c r="M49" s="265" t="s">
        <v>64</v>
      </c>
      <c r="N49" s="265" t="s">
        <v>728</v>
      </c>
      <c r="O49" s="265" t="s">
        <v>11</v>
      </c>
    </row>
    <row r="50" spans="1:15" s="264" customFormat="1" x14ac:dyDescent="0.25">
      <c r="A50" s="262">
        <v>3</v>
      </c>
      <c r="B50" s="262">
        <v>3</v>
      </c>
      <c r="C50" s="262" t="s">
        <v>1122</v>
      </c>
      <c r="D50" s="262">
        <v>6</v>
      </c>
      <c r="E50" s="262" t="s">
        <v>765</v>
      </c>
      <c r="F50" s="262">
        <v>1</v>
      </c>
      <c r="G50" s="262">
        <v>1</v>
      </c>
      <c r="H50" s="262">
        <v>0</v>
      </c>
      <c r="I50" s="263">
        <v>212722.47900390599</v>
      </c>
      <c r="J50" s="262" t="s">
        <v>289</v>
      </c>
      <c r="K50" s="262" t="s">
        <v>290</v>
      </c>
      <c r="L50" s="262" t="s">
        <v>63</v>
      </c>
      <c r="M50" s="262" t="s">
        <v>64</v>
      </c>
      <c r="N50" s="262" t="s">
        <v>727</v>
      </c>
      <c r="O50" s="262" t="s">
        <v>11</v>
      </c>
    </row>
    <row r="51" spans="1:15" s="129" customFormat="1" x14ac:dyDescent="0.25">
      <c r="A51" s="130">
        <v>3</v>
      </c>
      <c r="B51" s="130">
        <v>3</v>
      </c>
      <c r="C51" s="130" t="s">
        <v>1122</v>
      </c>
      <c r="D51" s="130">
        <v>6</v>
      </c>
      <c r="E51" s="130" t="s">
        <v>765</v>
      </c>
      <c r="F51" s="130">
        <v>1</v>
      </c>
      <c r="G51" s="130">
        <v>1</v>
      </c>
      <c r="H51" s="130">
        <v>0</v>
      </c>
      <c r="I51" s="131">
        <v>1101790.9575195301</v>
      </c>
      <c r="J51" s="130" t="s">
        <v>291</v>
      </c>
      <c r="K51" s="130" t="s">
        <v>292</v>
      </c>
      <c r="L51" s="130" t="s">
        <v>24</v>
      </c>
      <c r="M51" s="130" t="s">
        <v>735</v>
      </c>
      <c r="N51" s="130" t="s">
        <v>15</v>
      </c>
      <c r="O51" s="130" t="s">
        <v>11</v>
      </c>
    </row>
    <row r="52" spans="1:15" s="129" customFormat="1" x14ac:dyDescent="0.25">
      <c r="A52" s="130">
        <v>3</v>
      </c>
      <c r="B52" s="130">
        <v>3</v>
      </c>
      <c r="C52" s="130" t="s">
        <v>1122</v>
      </c>
      <c r="D52" s="130">
        <v>6</v>
      </c>
      <c r="E52" s="130" t="s">
        <v>765</v>
      </c>
      <c r="F52" s="130">
        <v>1</v>
      </c>
      <c r="G52" s="130">
        <v>1</v>
      </c>
      <c r="H52" s="130">
        <v>0</v>
      </c>
      <c r="I52" s="131">
        <v>1119191.4213867099</v>
      </c>
      <c r="J52" s="130" t="s">
        <v>293</v>
      </c>
      <c r="K52" s="130" t="s">
        <v>294</v>
      </c>
      <c r="L52" s="130" t="s">
        <v>63</v>
      </c>
      <c r="M52" s="130" t="s">
        <v>64</v>
      </c>
      <c r="N52" s="130" t="s">
        <v>15</v>
      </c>
      <c r="O52" s="130" t="s">
        <v>11</v>
      </c>
    </row>
    <row r="53" spans="1:15" s="129" customFormat="1" x14ac:dyDescent="0.25">
      <c r="A53" s="130">
        <v>3</v>
      </c>
      <c r="B53" s="130">
        <v>3</v>
      </c>
      <c r="C53" s="130" t="s">
        <v>1122</v>
      </c>
      <c r="D53" s="130">
        <v>6</v>
      </c>
      <c r="E53" s="130" t="s">
        <v>765</v>
      </c>
      <c r="F53" s="130">
        <v>1</v>
      </c>
      <c r="G53" s="130">
        <v>1</v>
      </c>
      <c r="H53" s="130">
        <v>0</v>
      </c>
      <c r="I53" s="131">
        <v>1635915.9423828099</v>
      </c>
      <c r="J53" s="130" t="s">
        <v>118</v>
      </c>
      <c r="K53" s="130" t="s">
        <v>119</v>
      </c>
      <c r="L53" s="130" t="s">
        <v>24</v>
      </c>
      <c r="M53" s="130" t="s">
        <v>735</v>
      </c>
      <c r="N53" s="130" t="s">
        <v>15</v>
      </c>
      <c r="O53" s="130" t="s">
        <v>11</v>
      </c>
    </row>
    <row r="54" spans="1:15" s="129" customFormat="1" x14ac:dyDescent="0.25">
      <c r="A54" s="130">
        <v>3</v>
      </c>
      <c r="B54" s="130">
        <v>3</v>
      </c>
      <c r="C54" s="130" t="s">
        <v>1122</v>
      </c>
      <c r="D54" s="130">
        <v>6</v>
      </c>
      <c r="E54" s="130" t="s">
        <v>765</v>
      </c>
      <c r="F54" s="130">
        <v>1</v>
      </c>
      <c r="G54" s="130">
        <v>1</v>
      </c>
      <c r="H54" s="130">
        <v>0</v>
      </c>
      <c r="I54" s="131">
        <v>643733.56933593703</v>
      </c>
      <c r="J54" s="130" t="s">
        <v>309</v>
      </c>
      <c r="K54" s="130" t="s">
        <v>310</v>
      </c>
      <c r="L54" s="130" t="s">
        <v>63</v>
      </c>
      <c r="M54" s="130" t="s">
        <v>64</v>
      </c>
      <c r="N54" s="130" t="s">
        <v>15</v>
      </c>
      <c r="O54" s="130" t="s">
        <v>11</v>
      </c>
    </row>
    <row r="55" spans="1:15" s="129" customFormat="1" x14ac:dyDescent="0.25">
      <c r="A55" s="130">
        <v>3</v>
      </c>
      <c r="B55" s="130">
        <v>3</v>
      </c>
      <c r="C55" s="130" t="s">
        <v>1122</v>
      </c>
      <c r="D55" s="130">
        <v>6</v>
      </c>
      <c r="E55" s="130" t="s">
        <v>765</v>
      </c>
      <c r="F55" s="130">
        <v>1</v>
      </c>
      <c r="G55" s="130">
        <v>1</v>
      </c>
      <c r="H55" s="130">
        <v>0</v>
      </c>
      <c r="I55" s="131">
        <v>116992.516113281</v>
      </c>
      <c r="J55" s="130" t="s">
        <v>315</v>
      </c>
      <c r="K55" s="130" t="s">
        <v>316</v>
      </c>
      <c r="L55" s="130" t="s">
        <v>63</v>
      </c>
      <c r="M55" s="130" t="s">
        <v>64</v>
      </c>
      <c r="N55" s="130" t="s">
        <v>15</v>
      </c>
      <c r="O55" s="130" t="s">
        <v>11</v>
      </c>
    </row>
    <row r="56" spans="1:15" s="218" customFormat="1" x14ac:dyDescent="0.25">
      <c r="A56" s="265">
        <v>3</v>
      </c>
      <c r="B56" s="265">
        <v>3</v>
      </c>
      <c r="C56" s="265" t="s">
        <v>1122</v>
      </c>
      <c r="D56" s="265">
        <v>6</v>
      </c>
      <c r="E56" s="265" t="s">
        <v>765</v>
      </c>
      <c r="F56" s="265">
        <v>1</v>
      </c>
      <c r="G56" s="265">
        <v>1</v>
      </c>
      <c r="H56" s="265">
        <v>0</v>
      </c>
      <c r="I56" s="266">
        <v>123686.832519531</v>
      </c>
      <c r="J56" s="265" t="s">
        <v>317</v>
      </c>
      <c r="K56" s="265" t="s">
        <v>318</v>
      </c>
      <c r="L56" s="265" t="s">
        <v>24</v>
      </c>
      <c r="M56" s="265" t="s">
        <v>735</v>
      </c>
      <c r="N56" s="265" t="s">
        <v>728</v>
      </c>
      <c r="O56" s="265" t="s">
        <v>11</v>
      </c>
    </row>
    <row r="57" spans="1:15" s="218" customFormat="1" x14ac:dyDescent="0.25">
      <c r="A57" s="265">
        <v>3</v>
      </c>
      <c r="B57" s="265">
        <v>3</v>
      </c>
      <c r="C57" s="265" t="s">
        <v>1122</v>
      </c>
      <c r="D57" s="265">
        <v>6</v>
      </c>
      <c r="E57" s="265" t="s">
        <v>765</v>
      </c>
      <c r="F57" s="265">
        <v>1</v>
      </c>
      <c r="G57" s="265">
        <v>1</v>
      </c>
      <c r="H57" s="265">
        <v>0</v>
      </c>
      <c r="I57" s="266">
        <v>327057.93017578102</v>
      </c>
      <c r="J57" s="265" t="s">
        <v>319</v>
      </c>
      <c r="K57" s="265" t="s">
        <v>320</v>
      </c>
      <c r="L57" s="265" t="s">
        <v>30</v>
      </c>
      <c r="M57" s="265" t="s">
        <v>732</v>
      </c>
      <c r="N57" s="265" t="s">
        <v>728</v>
      </c>
      <c r="O57" s="265" t="s">
        <v>11</v>
      </c>
    </row>
    <row r="58" spans="1:15" s="129" customFormat="1" x14ac:dyDescent="0.25">
      <c r="A58" s="130">
        <v>3</v>
      </c>
      <c r="B58" s="130">
        <v>3</v>
      </c>
      <c r="C58" s="130" t="s">
        <v>1122</v>
      </c>
      <c r="D58" s="130">
        <v>6</v>
      </c>
      <c r="E58" s="130" t="s">
        <v>765</v>
      </c>
      <c r="F58" s="130">
        <v>1</v>
      </c>
      <c r="G58" s="130">
        <v>1</v>
      </c>
      <c r="H58" s="130">
        <v>0</v>
      </c>
      <c r="I58" s="131">
        <v>6311712.5048828097</v>
      </c>
      <c r="J58" s="130" t="s">
        <v>321</v>
      </c>
      <c r="K58" s="130" t="s">
        <v>322</v>
      </c>
      <c r="L58" s="130" t="s">
        <v>63</v>
      </c>
      <c r="M58" s="130" t="s">
        <v>64</v>
      </c>
      <c r="N58" s="130" t="s">
        <v>15</v>
      </c>
      <c r="O58" s="130" t="s">
        <v>11</v>
      </c>
    </row>
    <row r="59" spans="1:15" s="264" customFormat="1" x14ac:dyDescent="0.25">
      <c r="A59" s="262">
        <v>3</v>
      </c>
      <c r="B59" s="262">
        <v>3</v>
      </c>
      <c r="C59" s="262" t="s">
        <v>1122</v>
      </c>
      <c r="D59" s="262">
        <v>6</v>
      </c>
      <c r="E59" s="262" t="s">
        <v>765</v>
      </c>
      <c r="F59" s="262">
        <v>1</v>
      </c>
      <c r="G59" s="262">
        <v>1</v>
      </c>
      <c r="H59" s="262">
        <v>0</v>
      </c>
      <c r="I59" s="263">
        <v>110323.2734375</v>
      </c>
      <c r="J59" s="262" t="s">
        <v>291</v>
      </c>
      <c r="K59" s="262" t="s">
        <v>292</v>
      </c>
      <c r="L59" s="262" t="s">
        <v>24</v>
      </c>
      <c r="M59" s="262" t="s">
        <v>735</v>
      </c>
      <c r="N59" s="262" t="s">
        <v>727</v>
      </c>
      <c r="O59" s="262" t="s">
        <v>11</v>
      </c>
    </row>
    <row r="60" spans="1:15" s="264" customFormat="1" x14ac:dyDescent="0.25">
      <c r="A60" s="262">
        <v>3</v>
      </c>
      <c r="B60" s="262">
        <v>3</v>
      </c>
      <c r="C60" s="262" t="s">
        <v>1122</v>
      </c>
      <c r="D60" s="262">
        <v>6</v>
      </c>
      <c r="E60" s="262" t="s">
        <v>765</v>
      </c>
      <c r="F60" s="262">
        <v>1</v>
      </c>
      <c r="G60" s="262">
        <v>1</v>
      </c>
      <c r="H60" s="262">
        <v>0</v>
      </c>
      <c r="I60" s="263">
        <v>188767.75341796799</v>
      </c>
      <c r="J60" s="262" t="s">
        <v>263</v>
      </c>
      <c r="K60" s="262" t="s">
        <v>264</v>
      </c>
      <c r="L60" s="262" t="s">
        <v>30</v>
      </c>
      <c r="M60" s="262" t="s">
        <v>732</v>
      </c>
      <c r="N60" s="262" t="s">
        <v>727</v>
      </c>
      <c r="O60" s="262" t="s">
        <v>11</v>
      </c>
    </row>
    <row r="61" spans="1:15" s="129" customFormat="1" x14ac:dyDescent="0.25">
      <c r="A61" s="130">
        <v>3</v>
      </c>
      <c r="B61" s="130">
        <v>3</v>
      </c>
      <c r="C61" s="130" t="s">
        <v>1122</v>
      </c>
      <c r="D61" s="130">
        <v>6</v>
      </c>
      <c r="E61" s="130" t="s">
        <v>765</v>
      </c>
      <c r="F61" s="130">
        <v>1</v>
      </c>
      <c r="G61" s="130">
        <v>1</v>
      </c>
      <c r="H61" s="130">
        <v>0</v>
      </c>
      <c r="I61" s="131">
        <v>2608902.44042968</v>
      </c>
      <c r="J61" s="130" t="s">
        <v>327</v>
      </c>
      <c r="K61" s="130" t="s">
        <v>328</v>
      </c>
      <c r="L61" s="130" t="s">
        <v>63</v>
      </c>
      <c r="M61" s="130" t="s">
        <v>64</v>
      </c>
      <c r="N61" s="130" t="s">
        <v>15</v>
      </c>
      <c r="O61" s="130" t="s">
        <v>11</v>
      </c>
    </row>
    <row r="62" spans="1:15" s="218" customFormat="1" x14ac:dyDescent="0.25">
      <c r="A62" s="265">
        <v>3</v>
      </c>
      <c r="B62" s="265">
        <v>3</v>
      </c>
      <c r="C62" s="265" t="s">
        <v>1122</v>
      </c>
      <c r="D62" s="265">
        <v>6</v>
      </c>
      <c r="E62" s="265" t="s">
        <v>765</v>
      </c>
      <c r="F62" s="265">
        <v>1</v>
      </c>
      <c r="G62" s="265">
        <v>1</v>
      </c>
      <c r="H62" s="265">
        <v>0</v>
      </c>
      <c r="I62" s="266">
        <v>18462.173339843699</v>
      </c>
      <c r="J62" s="265" t="s">
        <v>339</v>
      </c>
      <c r="K62" s="265" t="s">
        <v>340</v>
      </c>
      <c r="L62" s="265" t="s">
        <v>24</v>
      </c>
      <c r="M62" s="265" t="s">
        <v>735</v>
      </c>
      <c r="N62" s="265" t="s">
        <v>728</v>
      </c>
      <c r="O62" s="265" t="s">
        <v>11</v>
      </c>
    </row>
    <row r="63" spans="1:15" s="264" customFormat="1" x14ac:dyDescent="0.25">
      <c r="A63" s="262">
        <v>3</v>
      </c>
      <c r="B63" s="262">
        <v>3</v>
      </c>
      <c r="C63" s="262" t="s">
        <v>1122</v>
      </c>
      <c r="D63" s="262">
        <v>6</v>
      </c>
      <c r="E63" s="262" t="s">
        <v>765</v>
      </c>
      <c r="F63" s="262">
        <v>1</v>
      </c>
      <c r="G63" s="262">
        <v>1</v>
      </c>
      <c r="H63" s="262">
        <v>0</v>
      </c>
      <c r="I63" s="263">
        <v>34745.3271484375</v>
      </c>
      <c r="J63" s="262" t="s">
        <v>345</v>
      </c>
      <c r="K63" s="262" t="s">
        <v>346</v>
      </c>
      <c r="L63" s="262" t="s">
        <v>30</v>
      </c>
      <c r="M63" s="262" t="s">
        <v>732</v>
      </c>
      <c r="N63" s="262" t="s">
        <v>727</v>
      </c>
      <c r="O63" s="262" t="s">
        <v>11</v>
      </c>
    </row>
    <row r="64" spans="1:15" s="264" customFormat="1" x14ac:dyDescent="0.25">
      <c r="A64" s="262">
        <v>3</v>
      </c>
      <c r="B64" s="262">
        <v>3</v>
      </c>
      <c r="C64" s="262" t="s">
        <v>1122</v>
      </c>
      <c r="D64" s="262">
        <v>6</v>
      </c>
      <c r="E64" s="262" t="s">
        <v>765</v>
      </c>
      <c r="F64" s="262">
        <v>1</v>
      </c>
      <c r="G64" s="262">
        <v>1</v>
      </c>
      <c r="H64" s="262">
        <v>0</v>
      </c>
      <c r="I64" s="263">
        <v>175162.30371093701</v>
      </c>
      <c r="J64" s="262" t="s">
        <v>81</v>
      </c>
      <c r="K64" s="262" t="s">
        <v>82</v>
      </c>
      <c r="L64" s="262" t="s">
        <v>14</v>
      </c>
      <c r="M64" s="262" t="s">
        <v>740</v>
      </c>
      <c r="N64" s="262" t="s">
        <v>727</v>
      </c>
      <c r="O64" s="262" t="s">
        <v>11</v>
      </c>
    </row>
    <row r="65" spans="1:15" s="264" customFormat="1" x14ac:dyDescent="0.25">
      <c r="A65" s="262">
        <v>3</v>
      </c>
      <c r="B65" s="262">
        <v>3</v>
      </c>
      <c r="C65" s="262" t="s">
        <v>1122</v>
      </c>
      <c r="D65" s="262">
        <v>6</v>
      </c>
      <c r="E65" s="262" t="s">
        <v>765</v>
      </c>
      <c r="F65" s="262">
        <v>1</v>
      </c>
      <c r="G65" s="262">
        <v>1</v>
      </c>
      <c r="H65" s="262">
        <v>0</v>
      </c>
      <c r="I65" s="263">
        <v>26671.395996093699</v>
      </c>
      <c r="J65" s="262" t="s">
        <v>353</v>
      </c>
      <c r="K65" s="262" t="s">
        <v>354</v>
      </c>
      <c r="L65" s="262" t="s">
        <v>30</v>
      </c>
      <c r="M65" s="262" t="s">
        <v>732</v>
      </c>
      <c r="N65" s="262" t="s">
        <v>727</v>
      </c>
      <c r="O65" s="262" t="s">
        <v>11</v>
      </c>
    </row>
    <row r="66" spans="1:15" s="264" customFormat="1" x14ac:dyDescent="0.25">
      <c r="A66" s="262">
        <v>3</v>
      </c>
      <c r="B66" s="262">
        <v>3</v>
      </c>
      <c r="C66" s="262" t="s">
        <v>1122</v>
      </c>
      <c r="D66" s="262">
        <v>6</v>
      </c>
      <c r="E66" s="262" t="s">
        <v>765</v>
      </c>
      <c r="F66" s="262">
        <v>1</v>
      </c>
      <c r="G66" s="262">
        <v>1</v>
      </c>
      <c r="H66" s="262">
        <v>0</v>
      </c>
      <c r="I66" s="263">
        <v>80755.901855468706</v>
      </c>
      <c r="J66" s="262" t="s">
        <v>275</v>
      </c>
      <c r="K66" s="262" t="s">
        <v>276</v>
      </c>
      <c r="L66" s="262" t="s">
        <v>63</v>
      </c>
      <c r="M66" s="262" t="s">
        <v>64</v>
      </c>
      <c r="N66" s="262" t="s">
        <v>727</v>
      </c>
      <c r="O66" s="262" t="s">
        <v>11</v>
      </c>
    </row>
    <row r="67" spans="1:15" s="264" customFormat="1" x14ac:dyDescent="0.25">
      <c r="A67" s="262">
        <v>3</v>
      </c>
      <c r="B67" s="262">
        <v>3</v>
      </c>
      <c r="C67" s="262" t="s">
        <v>1122</v>
      </c>
      <c r="D67" s="262">
        <v>6</v>
      </c>
      <c r="E67" s="262" t="s">
        <v>765</v>
      </c>
      <c r="F67" s="262">
        <v>1</v>
      </c>
      <c r="G67" s="262">
        <v>1</v>
      </c>
      <c r="H67" s="262">
        <v>0</v>
      </c>
      <c r="I67" s="263">
        <v>27.91748046875</v>
      </c>
      <c r="J67" s="262" t="s">
        <v>359</v>
      </c>
      <c r="K67" s="262" t="s">
        <v>360</v>
      </c>
      <c r="L67" s="262" t="s">
        <v>30</v>
      </c>
      <c r="M67" s="262" t="s">
        <v>732</v>
      </c>
      <c r="N67" s="262" t="s">
        <v>727</v>
      </c>
      <c r="O67" s="262" t="s">
        <v>11</v>
      </c>
    </row>
    <row r="68" spans="1:15" s="129" customFormat="1" x14ac:dyDescent="0.25">
      <c r="A68" s="130">
        <v>3</v>
      </c>
      <c r="B68" s="130">
        <v>3</v>
      </c>
      <c r="C68" s="130" t="s">
        <v>1122</v>
      </c>
      <c r="D68" s="130">
        <v>6</v>
      </c>
      <c r="E68" s="130" t="s">
        <v>765</v>
      </c>
      <c r="F68" s="130">
        <v>1</v>
      </c>
      <c r="G68" s="130">
        <v>1</v>
      </c>
      <c r="H68" s="130">
        <v>0</v>
      </c>
      <c r="I68" s="131">
        <v>485329.59814453102</v>
      </c>
      <c r="J68" s="130" t="s">
        <v>371</v>
      </c>
      <c r="K68" s="130" t="s">
        <v>372</v>
      </c>
      <c r="L68" s="130" t="s">
        <v>30</v>
      </c>
      <c r="M68" s="130" t="s">
        <v>732</v>
      </c>
      <c r="N68" s="130" t="s">
        <v>15</v>
      </c>
      <c r="O68" s="130" t="s">
        <v>11</v>
      </c>
    </row>
    <row r="69" spans="1:15" s="264" customFormat="1" x14ac:dyDescent="0.25">
      <c r="A69" s="262">
        <v>3</v>
      </c>
      <c r="B69" s="262">
        <v>3</v>
      </c>
      <c r="C69" s="262" t="s">
        <v>1122</v>
      </c>
      <c r="D69" s="262">
        <v>6</v>
      </c>
      <c r="E69" s="262" t="s">
        <v>765</v>
      </c>
      <c r="F69" s="262">
        <v>1</v>
      </c>
      <c r="G69" s="262">
        <v>1</v>
      </c>
      <c r="H69" s="262">
        <v>0</v>
      </c>
      <c r="I69" s="263">
        <v>105927.21826171799</v>
      </c>
      <c r="J69" s="262" t="s">
        <v>373</v>
      </c>
      <c r="K69" s="262" t="s">
        <v>374</v>
      </c>
      <c r="L69" s="262" t="s">
        <v>14</v>
      </c>
      <c r="M69" s="262" t="s">
        <v>740</v>
      </c>
      <c r="N69" s="262" t="s">
        <v>727</v>
      </c>
      <c r="O69" s="262" t="s">
        <v>11</v>
      </c>
    </row>
    <row r="70" spans="1:15" s="129" customFormat="1" x14ac:dyDescent="0.25">
      <c r="A70" s="130">
        <v>3</v>
      </c>
      <c r="B70" s="130">
        <v>3</v>
      </c>
      <c r="C70" s="130" t="s">
        <v>1122</v>
      </c>
      <c r="D70" s="130">
        <v>6</v>
      </c>
      <c r="E70" s="130" t="s">
        <v>765</v>
      </c>
      <c r="F70" s="130">
        <v>1</v>
      </c>
      <c r="G70" s="130">
        <v>1</v>
      </c>
      <c r="H70" s="130">
        <v>0</v>
      </c>
      <c r="I70" s="131">
        <v>399590.46386718698</v>
      </c>
      <c r="J70" s="130" t="s">
        <v>377</v>
      </c>
      <c r="K70" s="130" t="s">
        <v>378</v>
      </c>
      <c r="L70" s="130" t="s">
        <v>24</v>
      </c>
      <c r="M70" s="130" t="s">
        <v>735</v>
      </c>
      <c r="N70" s="130" t="s">
        <v>15</v>
      </c>
      <c r="O70" s="130" t="s">
        <v>11</v>
      </c>
    </row>
    <row r="71" spans="1:15" s="129" customFormat="1" x14ac:dyDescent="0.25">
      <c r="A71" s="130">
        <v>3</v>
      </c>
      <c r="B71" s="130">
        <v>3</v>
      </c>
      <c r="C71" s="130" t="s">
        <v>1122</v>
      </c>
      <c r="D71" s="130">
        <v>6</v>
      </c>
      <c r="E71" s="130" t="s">
        <v>765</v>
      </c>
      <c r="F71" s="130">
        <v>1</v>
      </c>
      <c r="G71" s="130">
        <v>1</v>
      </c>
      <c r="H71" s="130">
        <v>0</v>
      </c>
      <c r="I71" s="131">
        <v>616293.73583984305</v>
      </c>
      <c r="J71" s="130" t="s">
        <v>69</v>
      </c>
      <c r="K71" s="130" t="s">
        <v>70</v>
      </c>
      <c r="L71" s="130" t="s">
        <v>14</v>
      </c>
      <c r="M71" s="130" t="s">
        <v>740</v>
      </c>
      <c r="N71" s="130" t="s">
        <v>15</v>
      </c>
      <c r="O71" s="130" t="s">
        <v>11</v>
      </c>
    </row>
    <row r="72" spans="1:15" s="129" customFormat="1" x14ac:dyDescent="0.25">
      <c r="A72" s="130">
        <v>3</v>
      </c>
      <c r="B72" s="130">
        <v>3</v>
      </c>
      <c r="C72" s="130" t="s">
        <v>1122</v>
      </c>
      <c r="D72" s="130">
        <v>6</v>
      </c>
      <c r="E72" s="130" t="s">
        <v>765</v>
      </c>
      <c r="F72" s="130">
        <v>1</v>
      </c>
      <c r="G72" s="130">
        <v>1</v>
      </c>
      <c r="H72" s="130">
        <v>0</v>
      </c>
      <c r="I72" s="131">
        <v>9083.82666015625</v>
      </c>
      <c r="J72" s="130" t="s">
        <v>391</v>
      </c>
      <c r="K72" s="130" t="s">
        <v>392</v>
      </c>
      <c r="L72" s="130" t="s">
        <v>14</v>
      </c>
      <c r="M72" s="130" t="s">
        <v>740</v>
      </c>
      <c r="N72" s="130" t="s">
        <v>729</v>
      </c>
      <c r="O72" s="130" t="s">
        <v>741</v>
      </c>
    </row>
    <row r="73" spans="1:15" s="129" customFormat="1" x14ac:dyDescent="0.25">
      <c r="A73" s="130">
        <v>3</v>
      </c>
      <c r="B73" s="130">
        <v>3</v>
      </c>
      <c r="C73" s="130" t="s">
        <v>1122</v>
      </c>
      <c r="D73" s="130">
        <v>6</v>
      </c>
      <c r="E73" s="130" t="s">
        <v>765</v>
      </c>
      <c r="F73" s="130">
        <v>1</v>
      </c>
      <c r="G73" s="130">
        <v>1</v>
      </c>
      <c r="H73" s="130">
        <v>0</v>
      </c>
      <c r="I73" s="131">
        <v>1396663.5434570301</v>
      </c>
      <c r="J73" s="130" t="s">
        <v>399</v>
      </c>
      <c r="K73" s="130" t="s">
        <v>400</v>
      </c>
      <c r="L73" s="130" t="s">
        <v>63</v>
      </c>
      <c r="M73" s="130" t="s">
        <v>64</v>
      </c>
      <c r="N73" s="130" t="s">
        <v>15</v>
      </c>
      <c r="O73" s="130" t="s">
        <v>11</v>
      </c>
    </row>
    <row r="74" spans="1:15" s="218" customFormat="1" x14ac:dyDescent="0.25">
      <c r="A74" s="265">
        <v>3</v>
      </c>
      <c r="B74" s="265">
        <v>3</v>
      </c>
      <c r="C74" s="265" t="s">
        <v>1122</v>
      </c>
      <c r="D74" s="265">
        <v>6</v>
      </c>
      <c r="E74" s="265" t="s">
        <v>765</v>
      </c>
      <c r="F74" s="265">
        <v>1</v>
      </c>
      <c r="G74" s="265">
        <v>1</v>
      </c>
      <c r="H74" s="265">
        <v>0</v>
      </c>
      <c r="I74" s="266">
        <v>277047.15527343698</v>
      </c>
      <c r="J74" s="265" t="s">
        <v>403</v>
      </c>
      <c r="K74" s="265" t="s">
        <v>404</v>
      </c>
      <c r="L74" s="265" t="s">
        <v>14</v>
      </c>
      <c r="M74" s="265" t="s">
        <v>740</v>
      </c>
      <c r="N74" s="265" t="s">
        <v>728</v>
      </c>
      <c r="O74" s="265" t="s">
        <v>11</v>
      </c>
    </row>
    <row r="75" spans="1:15" s="218" customFormat="1" x14ac:dyDescent="0.25">
      <c r="A75" s="265">
        <v>3</v>
      </c>
      <c r="B75" s="265">
        <v>3</v>
      </c>
      <c r="C75" s="265" t="s">
        <v>1122</v>
      </c>
      <c r="D75" s="265">
        <v>6</v>
      </c>
      <c r="E75" s="265" t="s">
        <v>765</v>
      </c>
      <c r="F75" s="265">
        <v>1</v>
      </c>
      <c r="G75" s="265">
        <v>1</v>
      </c>
      <c r="H75" s="265">
        <v>0</v>
      </c>
      <c r="I75" s="266">
        <v>330312.12060546799</v>
      </c>
      <c r="J75" s="265" t="s">
        <v>211</v>
      </c>
      <c r="K75" s="265" t="s">
        <v>212</v>
      </c>
      <c r="L75" s="265" t="s">
        <v>30</v>
      </c>
      <c r="M75" s="265" t="s">
        <v>732</v>
      </c>
      <c r="N75" s="265" t="s">
        <v>728</v>
      </c>
      <c r="O75" s="265" t="s">
        <v>11</v>
      </c>
    </row>
    <row r="76" spans="1:15" s="129" customFormat="1" x14ac:dyDescent="0.25">
      <c r="A76" s="130">
        <v>3</v>
      </c>
      <c r="B76" s="130">
        <v>3</v>
      </c>
      <c r="C76" s="130" t="s">
        <v>1122</v>
      </c>
      <c r="D76" s="130">
        <v>6</v>
      </c>
      <c r="E76" s="130" t="s">
        <v>765</v>
      </c>
      <c r="F76" s="130">
        <v>1</v>
      </c>
      <c r="G76" s="130">
        <v>1</v>
      </c>
      <c r="H76" s="130">
        <v>0</v>
      </c>
      <c r="I76" s="131">
        <v>24535.939941406199</v>
      </c>
      <c r="J76" s="130" t="s">
        <v>359</v>
      </c>
      <c r="K76" s="130" t="s">
        <v>360</v>
      </c>
      <c r="L76" s="130" t="s">
        <v>30</v>
      </c>
      <c r="M76" s="130" t="s">
        <v>732</v>
      </c>
      <c r="N76" s="130" t="s">
        <v>15</v>
      </c>
      <c r="O76" s="130" t="s">
        <v>11</v>
      </c>
    </row>
    <row r="77" spans="1:15" s="264" customFormat="1" x14ac:dyDescent="0.25">
      <c r="A77" s="262">
        <v>3</v>
      </c>
      <c r="B77" s="262">
        <v>3</v>
      </c>
      <c r="C77" s="262" t="s">
        <v>1122</v>
      </c>
      <c r="D77" s="262">
        <v>6</v>
      </c>
      <c r="E77" s="262" t="s">
        <v>765</v>
      </c>
      <c r="F77" s="262">
        <v>1</v>
      </c>
      <c r="G77" s="262">
        <v>1</v>
      </c>
      <c r="H77" s="262">
        <v>0</v>
      </c>
      <c r="I77" s="263">
        <v>310738.25537109299</v>
      </c>
      <c r="J77" s="262" t="s">
        <v>231</v>
      </c>
      <c r="K77" s="262" t="s">
        <v>232</v>
      </c>
      <c r="L77" s="262" t="s">
        <v>63</v>
      </c>
      <c r="M77" s="262" t="s">
        <v>64</v>
      </c>
      <c r="N77" s="262" t="s">
        <v>727</v>
      </c>
      <c r="O77" s="262" t="s">
        <v>11</v>
      </c>
    </row>
    <row r="78" spans="1:15" s="218" customFormat="1" x14ac:dyDescent="0.25">
      <c r="A78" s="265">
        <v>3</v>
      </c>
      <c r="B78" s="265">
        <v>3</v>
      </c>
      <c r="C78" s="265" t="s">
        <v>1122</v>
      </c>
      <c r="D78" s="265">
        <v>6</v>
      </c>
      <c r="E78" s="265" t="s">
        <v>765</v>
      </c>
      <c r="F78" s="265">
        <v>1</v>
      </c>
      <c r="G78" s="265">
        <v>1</v>
      </c>
      <c r="H78" s="265">
        <v>0</v>
      </c>
      <c r="I78" s="266">
        <v>358716.505859375</v>
      </c>
      <c r="J78" s="265" t="s">
        <v>418</v>
      </c>
      <c r="K78" s="265" t="s">
        <v>419</v>
      </c>
      <c r="L78" s="265" t="s">
        <v>63</v>
      </c>
      <c r="M78" s="265" t="s">
        <v>64</v>
      </c>
      <c r="N78" s="265" t="s">
        <v>728</v>
      </c>
      <c r="O78" s="265" t="s">
        <v>11</v>
      </c>
    </row>
    <row r="79" spans="1:15" s="264" customFormat="1" x14ac:dyDescent="0.25">
      <c r="A79" s="262">
        <v>3</v>
      </c>
      <c r="B79" s="262">
        <v>3</v>
      </c>
      <c r="C79" s="262" t="s">
        <v>1122</v>
      </c>
      <c r="D79" s="262">
        <v>6</v>
      </c>
      <c r="E79" s="262" t="s">
        <v>765</v>
      </c>
      <c r="F79" s="262">
        <v>1</v>
      </c>
      <c r="G79" s="262">
        <v>1</v>
      </c>
      <c r="H79" s="262">
        <v>0</v>
      </c>
      <c r="I79" s="263">
        <v>240441.06738281201</v>
      </c>
      <c r="J79" s="262" t="s">
        <v>151</v>
      </c>
      <c r="K79" s="262" t="s">
        <v>152</v>
      </c>
      <c r="L79" s="262" t="s">
        <v>24</v>
      </c>
      <c r="M79" s="262" t="s">
        <v>735</v>
      </c>
      <c r="N79" s="262" t="s">
        <v>727</v>
      </c>
      <c r="O79" s="262" t="s">
        <v>11</v>
      </c>
    </row>
    <row r="80" spans="1:15" s="218" customFormat="1" x14ac:dyDescent="0.25">
      <c r="A80" s="265">
        <v>3</v>
      </c>
      <c r="B80" s="265">
        <v>3</v>
      </c>
      <c r="C80" s="265" t="s">
        <v>1122</v>
      </c>
      <c r="D80" s="265">
        <v>6</v>
      </c>
      <c r="E80" s="265" t="s">
        <v>765</v>
      </c>
      <c r="F80" s="265">
        <v>1</v>
      </c>
      <c r="G80" s="265">
        <v>1</v>
      </c>
      <c r="H80" s="265">
        <v>0</v>
      </c>
      <c r="I80" s="266">
        <v>150376.93359375</v>
      </c>
      <c r="J80" s="265" t="s">
        <v>422</v>
      </c>
      <c r="K80" s="265" t="s">
        <v>423</v>
      </c>
      <c r="L80" s="265" t="s">
        <v>63</v>
      </c>
      <c r="M80" s="265" t="s">
        <v>64</v>
      </c>
      <c r="N80" s="265" t="s">
        <v>728</v>
      </c>
      <c r="O80" s="265" t="s">
        <v>11</v>
      </c>
    </row>
    <row r="81" spans="1:15" s="129" customFormat="1" x14ac:dyDescent="0.25">
      <c r="A81" s="130">
        <v>3</v>
      </c>
      <c r="B81" s="130">
        <v>3</v>
      </c>
      <c r="C81" s="130" t="s">
        <v>1122</v>
      </c>
      <c r="D81" s="130">
        <v>6</v>
      </c>
      <c r="E81" s="130" t="s">
        <v>765</v>
      </c>
      <c r="F81" s="130">
        <v>1</v>
      </c>
      <c r="G81" s="130">
        <v>1</v>
      </c>
      <c r="H81" s="130">
        <v>0</v>
      </c>
      <c r="I81" s="131">
        <v>324270.64160156198</v>
      </c>
      <c r="J81" s="130" t="s">
        <v>432</v>
      </c>
      <c r="K81" s="130" t="s">
        <v>433</v>
      </c>
      <c r="L81" s="130" t="s">
        <v>30</v>
      </c>
      <c r="M81" s="130" t="s">
        <v>732</v>
      </c>
      <c r="N81" s="130" t="s">
        <v>15</v>
      </c>
      <c r="O81" s="130" t="s">
        <v>11</v>
      </c>
    </row>
    <row r="82" spans="1:15" s="129" customFormat="1" x14ac:dyDescent="0.25">
      <c r="A82" s="130">
        <v>3</v>
      </c>
      <c r="B82" s="130">
        <v>3</v>
      </c>
      <c r="C82" s="130" t="s">
        <v>1122</v>
      </c>
      <c r="D82" s="130">
        <v>6</v>
      </c>
      <c r="E82" s="130" t="s">
        <v>765</v>
      </c>
      <c r="F82" s="130">
        <v>1</v>
      </c>
      <c r="G82" s="130">
        <v>1</v>
      </c>
      <c r="H82" s="130">
        <v>0</v>
      </c>
      <c r="I82" s="131">
        <v>400159.306640625</v>
      </c>
      <c r="J82" s="130" t="s">
        <v>265</v>
      </c>
      <c r="K82" s="130" t="s">
        <v>266</v>
      </c>
      <c r="L82" s="130" t="s">
        <v>63</v>
      </c>
      <c r="M82" s="130" t="s">
        <v>64</v>
      </c>
      <c r="N82" s="130" t="s">
        <v>15</v>
      </c>
      <c r="O82" s="130" t="s">
        <v>11</v>
      </c>
    </row>
    <row r="83" spans="1:15" s="129" customFormat="1" x14ac:dyDescent="0.25">
      <c r="A83" s="130">
        <v>3</v>
      </c>
      <c r="B83" s="130">
        <v>3</v>
      </c>
      <c r="C83" s="130" t="s">
        <v>1122</v>
      </c>
      <c r="D83" s="130">
        <v>6</v>
      </c>
      <c r="E83" s="130" t="s">
        <v>765</v>
      </c>
      <c r="F83" s="130">
        <v>1</v>
      </c>
      <c r="G83" s="130">
        <v>1</v>
      </c>
      <c r="H83" s="130">
        <v>0</v>
      </c>
      <c r="I83" s="131">
        <v>32450.498046875</v>
      </c>
      <c r="J83" s="130" t="s">
        <v>442</v>
      </c>
      <c r="K83" s="130" t="s">
        <v>443</v>
      </c>
      <c r="L83" s="130" t="s">
        <v>14</v>
      </c>
      <c r="M83" s="130" t="s">
        <v>740</v>
      </c>
      <c r="N83" s="130" t="s">
        <v>15</v>
      </c>
      <c r="O83" s="130" t="s">
        <v>11</v>
      </c>
    </row>
    <row r="84" spans="1:15" s="129" customFormat="1" x14ac:dyDescent="0.25">
      <c r="A84" s="130">
        <v>3</v>
      </c>
      <c r="B84" s="130">
        <v>3</v>
      </c>
      <c r="C84" s="130" t="s">
        <v>1122</v>
      </c>
      <c r="D84" s="130">
        <v>6</v>
      </c>
      <c r="E84" s="130" t="s">
        <v>765</v>
      </c>
      <c r="F84" s="130">
        <v>1</v>
      </c>
      <c r="G84" s="130">
        <v>1</v>
      </c>
      <c r="H84" s="130">
        <v>0</v>
      </c>
      <c r="I84" s="131">
        <v>136346.87939453099</v>
      </c>
      <c r="J84" s="130" t="s">
        <v>444</v>
      </c>
      <c r="K84" s="130" t="s">
        <v>445</v>
      </c>
      <c r="L84" s="130" t="s">
        <v>24</v>
      </c>
      <c r="M84" s="130" t="s">
        <v>735</v>
      </c>
      <c r="N84" s="130" t="s">
        <v>15</v>
      </c>
      <c r="O84" s="130" t="s">
        <v>11</v>
      </c>
    </row>
    <row r="85" spans="1:15" s="129" customFormat="1" x14ac:dyDescent="0.25">
      <c r="A85" s="130">
        <v>3</v>
      </c>
      <c r="B85" s="130">
        <v>3</v>
      </c>
      <c r="C85" s="130" t="s">
        <v>1122</v>
      </c>
      <c r="D85" s="130">
        <v>6</v>
      </c>
      <c r="E85" s="130" t="s">
        <v>765</v>
      </c>
      <c r="F85" s="130">
        <v>1</v>
      </c>
      <c r="G85" s="130">
        <v>1</v>
      </c>
      <c r="H85" s="130">
        <v>0</v>
      </c>
      <c r="I85" s="131">
        <v>488674.037109375</v>
      </c>
      <c r="J85" s="130" t="s">
        <v>446</v>
      </c>
      <c r="K85" s="130" t="s">
        <v>447</v>
      </c>
      <c r="L85" s="130" t="s">
        <v>14</v>
      </c>
      <c r="M85" s="130" t="s">
        <v>740</v>
      </c>
      <c r="N85" s="130" t="s">
        <v>15</v>
      </c>
      <c r="O85" s="130" t="s">
        <v>11</v>
      </c>
    </row>
    <row r="86" spans="1:15" s="218" customFormat="1" x14ac:dyDescent="0.25">
      <c r="A86" s="265">
        <v>3</v>
      </c>
      <c r="B86" s="265">
        <v>3</v>
      </c>
      <c r="C86" s="265" t="s">
        <v>1122</v>
      </c>
      <c r="D86" s="265">
        <v>6</v>
      </c>
      <c r="E86" s="265" t="s">
        <v>765</v>
      </c>
      <c r="F86" s="265">
        <v>1</v>
      </c>
      <c r="G86" s="265">
        <v>1</v>
      </c>
      <c r="H86" s="265">
        <v>0</v>
      </c>
      <c r="I86" s="266">
        <v>1095919.05761718</v>
      </c>
      <c r="J86" s="265" t="s">
        <v>51</v>
      </c>
      <c r="K86" s="265" t="s">
        <v>52</v>
      </c>
      <c r="L86" s="265" t="s">
        <v>14</v>
      </c>
      <c r="M86" s="265" t="s">
        <v>740</v>
      </c>
      <c r="N86" s="265" t="s">
        <v>728</v>
      </c>
      <c r="O86" s="265" t="s">
        <v>11</v>
      </c>
    </row>
    <row r="87" spans="1:15" s="218" customFormat="1" x14ac:dyDescent="0.25">
      <c r="A87" s="265">
        <v>3</v>
      </c>
      <c r="B87" s="265">
        <v>3</v>
      </c>
      <c r="C87" s="265" t="s">
        <v>1122</v>
      </c>
      <c r="D87" s="265">
        <v>6</v>
      </c>
      <c r="E87" s="265" t="s">
        <v>765</v>
      </c>
      <c r="F87" s="265">
        <v>1</v>
      </c>
      <c r="G87" s="265">
        <v>1</v>
      </c>
      <c r="H87" s="265">
        <v>0</v>
      </c>
      <c r="I87" s="266">
        <v>218767.67529296799</v>
      </c>
      <c r="J87" s="265" t="s">
        <v>231</v>
      </c>
      <c r="K87" s="265" t="s">
        <v>232</v>
      </c>
      <c r="L87" s="265" t="s">
        <v>63</v>
      </c>
      <c r="M87" s="265" t="s">
        <v>64</v>
      </c>
      <c r="N87" s="265" t="s">
        <v>728</v>
      </c>
      <c r="O87" s="265" t="s">
        <v>11</v>
      </c>
    </row>
    <row r="88" spans="1:15" s="218" customFormat="1" x14ac:dyDescent="0.25">
      <c r="A88" s="265">
        <v>3</v>
      </c>
      <c r="B88" s="265">
        <v>3</v>
      </c>
      <c r="C88" s="265" t="s">
        <v>1122</v>
      </c>
      <c r="D88" s="265">
        <v>6</v>
      </c>
      <c r="E88" s="265" t="s">
        <v>765</v>
      </c>
      <c r="F88" s="265">
        <v>1</v>
      </c>
      <c r="G88" s="265">
        <v>1</v>
      </c>
      <c r="H88" s="265">
        <v>0</v>
      </c>
      <c r="I88" s="266">
        <v>40664.435058593699</v>
      </c>
      <c r="J88" s="265" t="s">
        <v>257</v>
      </c>
      <c r="K88" s="265" t="s">
        <v>258</v>
      </c>
      <c r="L88" s="265" t="s">
        <v>14</v>
      </c>
      <c r="M88" s="265" t="s">
        <v>740</v>
      </c>
      <c r="N88" s="265" t="s">
        <v>728</v>
      </c>
      <c r="O88" s="265" t="s">
        <v>11</v>
      </c>
    </row>
    <row r="89" spans="1:15" s="264" customFormat="1" x14ac:dyDescent="0.25">
      <c r="A89" s="262">
        <v>3</v>
      </c>
      <c r="B89" s="262">
        <v>3</v>
      </c>
      <c r="C89" s="262" t="s">
        <v>1122</v>
      </c>
      <c r="D89" s="262">
        <v>6</v>
      </c>
      <c r="E89" s="262" t="s">
        <v>765</v>
      </c>
      <c r="F89" s="262">
        <v>1</v>
      </c>
      <c r="G89" s="262">
        <v>1</v>
      </c>
      <c r="H89" s="262">
        <v>0</v>
      </c>
      <c r="I89" s="263">
        <v>1687502.4838867099</v>
      </c>
      <c r="J89" s="262" t="s">
        <v>321</v>
      </c>
      <c r="K89" s="262" t="s">
        <v>322</v>
      </c>
      <c r="L89" s="262" t="s">
        <v>63</v>
      </c>
      <c r="M89" s="262" t="s">
        <v>64</v>
      </c>
      <c r="N89" s="262" t="s">
        <v>727</v>
      </c>
      <c r="O89" s="262" t="s">
        <v>11</v>
      </c>
    </row>
    <row r="90" spans="1:15" s="264" customFormat="1" x14ac:dyDescent="0.25">
      <c r="A90" s="262">
        <v>3</v>
      </c>
      <c r="B90" s="262">
        <v>3</v>
      </c>
      <c r="C90" s="262" t="s">
        <v>1122</v>
      </c>
      <c r="D90" s="262">
        <v>6</v>
      </c>
      <c r="E90" s="262" t="s">
        <v>765</v>
      </c>
      <c r="F90" s="262">
        <v>1</v>
      </c>
      <c r="G90" s="262">
        <v>1</v>
      </c>
      <c r="H90" s="262">
        <v>0</v>
      </c>
      <c r="I90" s="263">
        <v>8495.24462890625</v>
      </c>
      <c r="J90" s="262" t="s">
        <v>460</v>
      </c>
      <c r="K90" s="262" t="s">
        <v>461</v>
      </c>
      <c r="L90" s="262" t="s">
        <v>30</v>
      </c>
      <c r="M90" s="262" t="s">
        <v>732</v>
      </c>
      <c r="N90" s="262" t="s">
        <v>727</v>
      </c>
      <c r="O90" s="262" t="s">
        <v>11</v>
      </c>
    </row>
    <row r="91" spans="1:15" s="264" customFormat="1" x14ac:dyDescent="0.25">
      <c r="A91" s="262">
        <v>3</v>
      </c>
      <c r="B91" s="262">
        <v>3</v>
      </c>
      <c r="C91" s="262" t="s">
        <v>1122</v>
      </c>
      <c r="D91" s="262">
        <v>6</v>
      </c>
      <c r="E91" s="262" t="s">
        <v>765</v>
      </c>
      <c r="F91" s="262">
        <v>1</v>
      </c>
      <c r="G91" s="262">
        <v>1</v>
      </c>
      <c r="H91" s="262">
        <v>0</v>
      </c>
      <c r="I91" s="263">
        <v>494028.04541015602</v>
      </c>
      <c r="J91" s="262" t="s">
        <v>466</v>
      </c>
      <c r="K91" s="262" t="s">
        <v>467</v>
      </c>
      <c r="L91" s="262" t="s">
        <v>63</v>
      </c>
      <c r="M91" s="262" t="s">
        <v>64</v>
      </c>
      <c r="N91" s="262" t="s">
        <v>727</v>
      </c>
      <c r="O91" s="262" t="s">
        <v>11</v>
      </c>
    </row>
    <row r="92" spans="1:15" s="28" customFormat="1" x14ac:dyDescent="0.25">
      <c r="A92" s="86">
        <v>3</v>
      </c>
      <c r="B92" s="86">
        <v>3</v>
      </c>
      <c r="C92" s="86" t="s">
        <v>1122</v>
      </c>
      <c r="D92" s="86">
        <v>6</v>
      </c>
      <c r="E92" s="86" t="s">
        <v>765</v>
      </c>
      <c r="F92" s="86">
        <v>1</v>
      </c>
      <c r="G92" s="86">
        <v>1</v>
      </c>
      <c r="H92" s="86">
        <v>0</v>
      </c>
      <c r="I92" s="87">
        <v>623196.80859375</v>
      </c>
      <c r="J92" s="86" t="s">
        <v>470</v>
      </c>
      <c r="K92" s="86" t="s">
        <v>471</v>
      </c>
      <c r="L92" s="86" t="s">
        <v>30</v>
      </c>
      <c r="M92" s="86" t="s">
        <v>732</v>
      </c>
      <c r="N92" s="86" t="s">
        <v>726</v>
      </c>
      <c r="O92" s="86" t="s">
        <v>35</v>
      </c>
    </row>
    <row r="93" spans="1:15" s="129" customFormat="1" x14ac:dyDescent="0.25">
      <c r="A93" s="130">
        <v>3</v>
      </c>
      <c r="B93" s="130">
        <v>3</v>
      </c>
      <c r="C93" s="130" t="s">
        <v>1122</v>
      </c>
      <c r="D93" s="130">
        <v>6</v>
      </c>
      <c r="E93" s="130" t="s">
        <v>765</v>
      </c>
      <c r="F93" s="130">
        <v>1</v>
      </c>
      <c r="G93" s="130">
        <v>1</v>
      </c>
      <c r="H93" s="130">
        <v>0</v>
      </c>
      <c r="I93" s="131">
        <v>448190.37402343698</v>
      </c>
      <c r="J93" s="130" t="s">
        <v>422</v>
      </c>
      <c r="K93" s="130" t="s">
        <v>423</v>
      </c>
      <c r="L93" s="130" t="s">
        <v>63</v>
      </c>
      <c r="M93" s="130" t="s">
        <v>64</v>
      </c>
      <c r="N93" s="130" t="s">
        <v>15</v>
      </c>
      <c r="O93" s="130" t="s">
        <v>11</v>
      </c>
    </row>
    <row r="94" spans="1:15" s="218" customFormat="1" x14ac:dyDescent="0.25">
      <c r="A94" s="265">
        <v>3</v>
      </c>
      <c r="B94" s="265">
        <v>3</v>
      </c>
      <c r="C94" s="265" t="s">
        <v>1122</v>
      </c>
      <c r="D94" s="265">
        <v>6</v>
      </c>
      <c r="E94" s="265" t="s">
        <v>765</v>
      </c>
      <c r="F94" s="265">
        <v>1</v>
      </c>
      <c r="G94" s="265">
        <v>1</v>
      </c>
      <c r="H94" s="265">
        <v>0</v>
      </c>
      <c r="I94" s="266">
        <v>245638.32324218701</v>
      </c>
      <c r="J94" s="265" t="s">
        <v>480</v>
      </c>
      <c r="K94" s="265" t="s">
        <v>481</v>
      </c>
      <c r="L94" s="265" t="s">
        <v>63</v>
      </c>
      <c r="M94" s="265" t="s">
        <v>64</v>
      </c>
      <c r="N94" s="265" t="s">
        <v>728</v>
      </c>
      <c r="O94" s="265" t="s">
        <v>11</v>
      </c>
    </row>
    <row r="95" spans="1:15" s="218" customFormat="1" x14ac:dyDescent="0.25">
      <c r="A95" s="265">
        <v>3</v>
      </c>
      <c r="B95" s="265">
        <v>3</v>
      </c>
      <c r="C95" s="265" t="s">
        <v>1122</v>
      </c>
      <c r="D95" s="265">
        <v>6</v>
      </c>
      <c r="E95" s="265" t="s">
        <v>765</v>
      </c>
      <c r="F95" s="265">
        <v>1</v>
      </c>
      <c r="G95" s="265">
        <v>1</v>
      </c>
      <c r="H95" s="265">
        <v>0</v>
      </c>
      <c r="I95" s="266">
        <v>10001.867675781201</v>
      </c>
      <c r="J95" s="265" t="s">
        <v>49</v>
      </c>
      <c r="K95" s="265" t="s">
        <v>50</v>
      </c>
      <c r="L95" s="265" t="s">
        <v>30</v>
      </c>
      <c r="M95" s="265" t="s">
        <v>732</v>
      </c>
      <c r="N95" s="265" t="s">
        <v>728</v>
      </c>
      <c r="O95" s="265" t="s">
        <v>11</v>
      </c>
    </row>
    <row r="96" spans="1:15" s="129" customFormat="1" x14ac:dyDescent="0.25">
      <c r="A96" s="130">
        <v>3</v>
      </c>
      <c r="B96" s="130">
        <v>3</v>
      </c>
      <c r="C96" s="130" t="s">
        <v>1122</v>
      </c>
      <c r="D96" s="130">
        <v>6</v>
      </c>
      <c r="E96" s="130" t="s">
        <v>765</v>
      </c>
      <c r="F96" s="130">
        <v>1</v>
      </c>
      <c r="G96" s="130">
        <v>1</v>
      </c>
      <c r="H96" s="130">
        <v>0</v>
      </c>
      <c r="I96" s="131">
        <v>287659.35888671799</v>
      </c>
      <c r="J96" s="130" t="s">
        <v>460</v>
      </c>
      <c r="K96" s="130" t="s">
        <v>461</v>
      </c>
      <c r="L96" s="130" t="s">
        <v>30</v>
      </c>
      <c r="M96" s="130" t="s">
        <v>732</v>
      </c>
      <c r="N96" s="130" t="s">
        <v>15</v>
      </c>
      <c r="O96" s="130" t="s">
        <v>11</v>
      </c>
    </row>
    <row r="97" spans="1:15" s="129" customFormat="1" x14ac:dyDescent="0.25">
      <c r="A97" s="130">
        <v>3</v>
      </c>
      <c r="B97" s="130">
        <v>3</v>
      </c>
      <c r="C97" s="130" t="s">
        <v>1122</v>
      </c>
      <c r="D97" s="130">
        <v>6</v>
      </c>
      <c r="E97" s="130" t="s">
        <v>765</v>
      </c>
      <c r="F97" s="130">
        <v>1</v>
      </c>
      <c r="G97" s="130">
        <v>1</v>
      </c>
      <c r="H97" s="130">
        <v>0</v>
      </c>
      <c r="I97" s="131">
        <v>1739779.15625</v>
      </c>
      <c r="J97" s="130" t="s">
        <v>183</v>
      </c>
      <c r="K97" s="130" t="s">
        <v>184</v>
      </c>
      <c r="L97" s="130" t="s">
        <v>24</v>
      </c>
      <c r="M97" s="130" t="s">
        <v>735</v>
      </c>
      <c r="N97" s="130" t="s">
        <v>15</v>
      </c>
      <c r="O97" s="130" t="s">
        <v>11</v>
      </c>
    </row>
    <row r="98" spans="1:15" s="218" customFormat="1" x14ac:dyDescent="0.25">
      <c r="A98" s="265">
        <v>3</v>
      </c>
      <c r="B98" s="265">
        <v>3</v>
      </c>
      <c r="C98" s="265" t="s">
        <v>1122</v>
      </c>
      <c r="D98" s="265">
        <v>6</v>
      </c>
      <c r="E98" s="265" t="s">
        <v>765</v>
      </c>
      <c r="F98" s="265">
        <v>1</v>
      </c>
      <c r="G98" s="265">
        <v>1</v>
      </c>
      <c r="H98" s="265">
        <v>0</v>
      </c>
      <c r="I98" s="266">
        <v>212484.17919921799</v>
      </c>
      <c r="J98" s="265" t="s">
        <v>373</v>
      </c>
      <c r="K98" s="265" t="s">
        <v>374</v>
      </c>
      <c r="L98" s="265" t="s">
        <v>14</v>
      </c>
      <c r="M98" s="265" t="s">
        <v>740</v>
      </c>
      <c r="N98" s="265" t="s">
        <v>728</v>
      </c>
      <c r="O98" s="265" t="s">
        <v>11</v>
      </c>
    </row>
    <row r="99" spans="1:15" s="129" customFormat="1" x14ac:dyDescent="0.25">
      <c r="A99" s="130">
        <v>3</v>
      </c>
      <c r="B99" s="130">
        <v>3</v>
      </c>
      <c r="C99" s="130" t="s">
        <v>1122</v>
      </c>
      <c r="D99" s="130">
        <v>6</v>
      </c>
      <c r="E99" s="130" t="s">
        <v>765</v>
      </c>
      <c r="F99" s="130">
        <v>1</v>
      </c>
      <c r="G99" s="130">
        <v>1</v>
      </c>
      <c r="H99" s="130">
        <v>0</v>
      </c>
      <c r="I99" s="131">
        <v>206338.51220703099</v>
      </c>
      <c r="J99" s="130" t="s">
        <v>257</v>
      </c>
      <c r="K99" s="130" t="s">
        <v>258</v>
      </c>
      <c r="L99" s="130" t="s">
        <v>14</v>
      </c>
      <c r="M99" s="130" t="s">
        <v>740</v>
      </c>
      <c r="N99" s="130" t="s">
        <v>15</v>
      </c>
      <c r="O99" s="130" t="s">
        <v>11</v>
      </c>
    </row>
    <row r="100" spans="1:15" s="28" customFormat="1" x14ac:dyDescent="0.25">
      <c r="A100" s="86">
        <v>3</v>
      </c>
      <c r="B100" s="86">
        <v>3</v>
      </c>
      <c r="C100" s="86" t="s">
        <v>1122</v>
      </c>
      <c r="D100" s="86">
        <v>6</v>
      </c>
      <c r="E100" s="86" t="s">
        <v>765</v>
      </c>
      <c r="F100" s="86">
        <v>1</v>
      </c>
      <c r="G100" s="86">
        <v>1</v>
      </c>
      <c r="H100" s="86">
        <v>0</v>
      </c>
      <c r="I100" s="87">
        <v>615681.478515625</v>
      </c>
      <c r="J100" s="86" t="s">
        <v>500</v>
      </c>
      <c r="K100" s="86" t="s">
        <v>501</v>
      </c>
      <c r="L100" s="86" t="s">
        <v>502</v>
      </c>
      <c r="M100" s="86" t="s">
        <v>736</v>
      </c>
      <c r="N100" s="86" t="s">
        <v>726</v>
      </c>
      <c r="O100" s="86" t="s">
        <v>35</v>
      </c>
    </row>
    <row r="101" spans="1:15" s="218" customFormat="1" x14ac:dyDescent="0.25">
      <c r="A101" s="265">
        <v>3</v>
      </c>
      <c r="B101" s="265">
        <v>3</v>
      </c>
      <c r="C101" s="265" t="s">
        <v>1122</v>
      </c>
      <c r="D101" s="265">
        <v>6</v>
      </c>
      <c r="E101" s="265" t="s">
        <v>765</v>
      </c>
      <c r="F101" s="265">
        <v>1</v>
      </c>
      <c r="G101" s="265">
        <v>1</v>
      </c>
      <c r="H101" s="265">
        <v>0</v>
      </c>
      <c r="I101" s="266">
        <v>314674.50439453102</v>
      </c>
      <c r="J101" s="265" t="s">
        <v>353</v>
      </c>
      <c r="K101" s="265" t="s">
        <v>354</v>
      </c>
      <c r="L101" s="265" t="s">
        <v>30</v>
      </c>
      <c r="M101" s="265" t="s">
        <v>732</v>
      </c>
      <c r="N101" s="265" t="s">
        <v>728</v>
      </c>
      <c r="O101" s="265" t="s">
        <v>11</v>
      </c>
    </row>
    <row r="102" spans="1:15" s="264" customFormat="1" x14ac:dyDescent="0.25">
      <c r="A102" s="262">
        <v>3</v>
      </c>
      <c r="B102" s="262">
        <v>3</v>
      </c>
      <c r="C102" s="262" t="s">
        <v>1122</v>
      </c>
      <c r="D102" s="262">
        <v>6</v>
      </c>
      <c r="E102" s="262" t="s">
        <v>765</v>
      </c>
      <c r="F102" s="262">
        <v>1</v>
      </c>
      <c r="G102" s="262">
        <v>1</v>
      </c>
      <c r="H102" s="262">
        <v>0</v>
      </c>
      <c r="I102" s="263">
        <v>1558757.1738281201</v>
      </c>
      <c r="J102" s="262" t="s">
        <v>309</v>
      </c>
      <c r="K102" s="262" t="s">
        <v>310</v>
      </c>
      <c r="L102" s="262" t="s">
        <v>63</v>
      </c>
      <c r="M102" s="262" t="s">
        <v>64</v>
      </c>
      <c r="N102" s="262" t="s">
        <v>727</v>
      </c>
      <c r="O102" s="262" t="s">
        <v>11</v>
      </c>
    </row>
    <row r="103" spans="1:15" s="129" customFormat="1" x14ac:dyDescent="0.25">
      <c r="A103" s="130">
        <v>3</v>
      </c>
      <c r="B103" s="130">
        <v>3</v>
      </c>
      <c r="C103" s="130" t="s">
        <v>1122</v>
      </c>
      <c r="D103" s="130">
        <v>6</v>
      </c>
      <c r="E103" s="130" t="s">
        <v>765</v>
      </c>
      <c r="F103" s="130">
        <v>1</v>
      </c>
      <c r="G103" s="130">
        <v>1</v>
      </c>
      <c r="H103" s="130">
        <v>0</v>
      </c>
      <c r="I103" s="131">
        <v>319889.01855468698</v>
      </c>
      <c r="J103" s="130" t="s">
        <v>110</v>
      </c>
      <c r="K103" s="130" t="s">
        <v>111</v>
      </c>
      <c r="L103" s="130" t="s">
        <v>30</v>
      </c>
      <c r="M103" s="130" t="s">
        <v>732</v>
      </c>
      <c r="N103" s="130" t="s">
        <v>15</v>
      </c>
      <c r="O103" s="130" t="s">
        <v>11</v>
      </c>
    </row>
    <row r="104" spans="1:15" s="129" customFormat="1" x14ac:dyDescent="0.25">
      <c r="A104" s="130">
        <v>3</v>
      </c>
      <c r="B104" s="130">
        <v>3</v>
      </c>
      <c r="C104" s="130" t="s">
        <v>1122</v>
      </c>
      <c r="D104" s="130">
        <v>6</v>
      </c>
      <c r="E104" s="130" t="s">
        <v>765</v>
      </c>
      <c r="F104" s="130">
        <v>1</v>
      </c>
      <c r="G104" s="130">
        <v>1</v>
      </c>
      <c r="H104" s="130">
        <v>0</v>
      </c>
      <c r="I104" s="131">
        <v>4314038.53515625</v>
      </c>
      <c r="J104" s="130" t="s">
        <v>275</v>
      </c>
      <c r="K104" s="130" t="s">
        <v>276</v>
      </c>
      <c r="L104" s="130" t="s">
        <v>63</v>
      </c>
      <c r="M104" s="130" t="s">
        <v>64</v>
      </c>
      <c r="N104" s="130" t="s">
        <v>15</v>
      </c>
      <c r="O104" s="130" t="s">
        <v>11</v>
      </c>
    </row>
    <row r="105" spans="1:15" s="264" customFormat="1" x14ac:dyDescent="0.25">
      <c r="A105" s="262">
        <v>3</v>
      </c>
      <c r="B105" s="262">
        <v>3</v>
      </c>
      <c r="C105" s="262" t="s">
        <v>1122</v>
      </c>
      <c r="D105" s="262">
        <v>6</v>
      </c>
      <c r="E105" s="262" t="s">
        <v>765</v>
      </c>
      <c r="F105" s="262">
        <v>1</v>
      </c>
      <c r="G105" s="262">
        <v>1</v>
      </c>
      <c r="H105" s="262">
        <v>0</v>
      </c>
      <c r="I105" s="263">
        <v>50193.369140625</v>
      </c>
      <c r="J105" s="262" t="s">
        <v>503</v>
      </c>
      <c r="K105" s="262" t="s">
        <v>504</v>
      </c>
      <c r="L105" s="262" t="s">
        <v>63</v>
      </c>
      <c r="M105" s="262" t="s">
        <v>64</v>
      </c>
      <c r="N105" s="262" t="s">
        <v>727</v>
      </c>
      <c r="O105" s="262" t="s">
        <v>11</v>
      </c>
    </row>
    <row r="106" spans="1:15" s="129" customFormat="1" x14ac:dyDescent="0.25">
      <c r="A106" s="130">
        <v>3</v>
      </c>
      <c r="B106" s="130">
        <v>3</v>
      </c>
      <c r="C106" s="130" t="s">
        <v>1122</v>
      </c>
      <c r="D106" s="130">
        <v>6</v>
      </c>
      <c r="E106" s="130" t="s">
        <v>765</v>
      </c>
      <c r="F106" s="130">
        <v>1</v>
      </c>
      <c r="G106" s="130">
        <v>1</v>
      </c>
      <c r="H106" s="130">
        <v>0</v>
      </c>
      <c r="I106" s="131">
        <v>901976.34912109305</v>
      </c>
      <c r="J106" s="130" t="s">
        <v>317</v>
      </c>
      <c r="K106" s="130" t="s">
        <v>318</v>
      </c>
      <c r="L106" s="130" t="s">
        <v>24</v>
      </c>
      <c r="M106" s="130" t="s">
        <v>735</v>
      </c>
      <c r="N106" s="130" t="s">
        <v>15</v>
      </c>
      <c r="O106" s="130" t="s">
        <v>11</v>
      </c>
    </row>
    <row r="107" spans="1:15" s="264" customFormat="1" x14ac:dyDescent="0.25">
      <c r="A107" s="262">
        <v>3</v>
      </c>
      <c r="B107" s="262">
        <v>3</v>
      </c>
      <c r="C107" s="262" t="s">
        <v>1122</v>
      </c>
      <c r="D107" s="262">
        <v>6</v>
      </c>
      <c r="E107" s="262" t="s">
        <v>765</v>
      </c>
      <c r="F107" s="262">
        <v>1</v>
      </c>
      <c r="G107" s="262">
        <v>1</v>
      </c>
      <c r="H107" s="262">
        <v>0</v>
      </c>
      <c r="I107" s="263">
        <v>209608.42285156201</v>
      </c>
      <c r="J107" s="262" t="s">
        <v>403</v>
      </c>
      <c r="K107" s="262" t="s">
        <v>404</v>
      </c>
      <c r="L107" s="262" t="s">
        <v>14</v>
      </c>
      <c r="M107" s="262" t="s">
        <v>740</v>
      </c>
      <c r="N107" s="262" t="s">
        <v>727</v>
      </c>
      <c r="O107" s="262" t="s">
        <v>11</v>
      </c>
    </row>
    <row r="108" spans="1:15" s="129" customFormat="1" x14ac:dyDescent="0.25">
      <c r="A108" s="130">
        <v>3</v>
      </c>
      <c r="B108" s="130">
        <v>3</v>
      </c>
      <c r="C108" s="130" t="s">
        <v>1122</v>
      </c>
      <c r="D108" s="130">
        <v>6</v>
      </c>
      <c r="E108" s="130" t="s">
        <v>765</v>
      </c>
      <c r="F108" s="130">
        <v>1</v>
      </c>
      <c r="G108" s="130">
        <v>1</v>
      </c>
      <c r="H108" s="130">
        <v>0</v>
      </c>
      <c r="I108" s="131">
        <v>237635.81103515599</v>
      </c>
      <c r="J108" s="130" t="s">
        <v>509</v>
      </c>
      <c r="K108" s="130" t="s">
        <v>510</v>
      </c>
      <c r="L108" s="130" t="s">
        <v>24</v>
      </c>
      <c r="M108" s="130" t="s">
        <v>735</v>
      </c>
      <c r="N108" s="130" t="s">
        <v>15</v>
      </c>
      <c r="O108" s="130" t="s">
        <v>11</v>
      </c>
    </row>
    <row r="109" spans="1:15" s="129" customFormat="1" x14ac:dyDescent="0.25">
      <c r="A109" s="130">
        <v>3</v>
      </c>
      <c r="B109" s="130">
        <v>3</v>
      </c>
      <c r="C109" s="130" t="s">
        <v>1122</v>
      </c>
      <c r="D109" s="130">
        <v>6</v>
      </c>
      <c r="E109" s="130" t="s">
        <v>765</v>
      </c>
      <c r="F109" s="130">
        <v>1</v>
      </c>
      <c r="G109" s="130">
        <v>1</v>
      </c>
      <c r="H109" s="130">
        <v>0</v>
      </c>
      <c r="I109" s="131">
        <v>317101.91699218698</v>
      </c>
      <c r="J109" s="130" t="s">
        <v>503</v>
      </c>
      <c r="K109" s="130" t="s">
        <v>504</v>
      </c>
      <c r="L109" s="130" t="s">
        <v>63</v>
      </c>
      <c r="M109" s="130" t="s">
        <v>64</v>
      </c>
      <c r="N109" s="130" t="s">
        <v>15</v>
      </c>
      <c r="O109" s="130" t="s">
        <v>11</v>
      </c>
    </row>
    <row r="110" spans="1:15" s="218" customFormat="1" x14ac:dyDescent="0.25">
      <c r="A110" s="265">
        <v>3</v>
      </c>
      <c r="B110" s="265">
        <v>3</v>
      </c>
      <c r="C110" s="265" t="s">
        <v>1122</v>
      </c>
      <c r="D110" s="265">
        <v>6</v>
      </c>
      <c r="E110" s="265" t="s">
        <v>765</v>
      </c>
      <c r="F110" s="265">
        <v>1</v>
      </c>
      <c r="G110" s="265">
        <v>1</v>
      </c>
      <c r="H110" s="265">
        <v>0</v>
      </c>
      <c r="I110" s="266">
        <v>236383.72167968701</v>
      </c>
      <c r="J110" s="265" t="s">
        <v>517</v>
      </c>
      <c r="K110" s="265" t="s">
        <v>518</v>
      </c>
      <c r="L110" s="265" t="s">
        <v>24</v>
      </c>
      <c r="M110" s="265" t="s">
        <v>735</v>
      </c>
      <c r="N110" s="265" t="s">
        <v>728</v>
      </c>
      <c r="O110" s="265" t="s">
        <v>11</v>
      </c>
    </row>
    <row r="111" spans="1:15" s="129" customFormat="1" x14ac:dyDescent="0.25">
      <c r="A111" s="130">
        <v>3</v>
      </c>
      <c r="B111" s="130">
        <v>3</v>
      </c>
      <c r="C111" s="130" t="s">
        <v>1122</v>
      </c>
      <c r="D111" s="130">
        <v>6</v>
      </c>
      <c r="E111" s="130" t="s">
        <v>765</v>
      </c>
      <c r="F111" s="130">
        <v>1</v>
      </c>
      <c r="G111" s="130">
        <v>1</v>
      </c>
      <c r="H111" s="130">
        <v>0</v>
      </c>
      <c r="I111" s="131">
        <v>478081.71386718698</v>
      </c>
      <c r="J111" s="130" t="s">
        <v>42</v>
      </c>
      <c r="K111" s="130" t="s">
        <v>43</v>
      </c>
      <c r="L111" s="130" t="s">
        <v>30</v>
      </c>
      <c r="M111" s="130" t="s">
        <v>732</v>
      </c>
      <c r="N111" s="130" t="s">
        <v>15</v>
      </c>
      <c r="O111" s="130" t="s">
        <v>11</v>
      </c>
    </row>
    <row r="112" spans="1:15" s="218" customFormat="1" x14ac:dyDescent="0.25">
      <c r="A112" s="265">
        <v>3</v>
      </c>
      <c r="B112" s="265">
        <v>3</v>
      </c>
      <c r="C112" s="265" t="s">
        <v>1122</v>
      </c>
      <c r="D112" s="265">
        <v>6</v>
      </c>
      <c r="E112" s="265" t="s">
        <v>765</v>
      </c>
      <c r="F112" s="265">
        <v>1</v>
      </c>
      <c r="G112" s="265">
        <v>1</v>
      </c>
      <c r="H112" s="265">
        <v>0</v>
      </c>
      <c r="I112" s="266">
        <v>336984.275390625</v>
      </c>
      <c r="J112" s="265" t="s">
        <v>525</v>
      </c>
      <c r="K112" s="265" t="s">
        <v>526</v>
      </c>
      <c r="L112" s="265" t="s">
        <v>63</v>
      </c>
      <c r="M112" s="265" t="s">
        <v>64</v>
      </c>
      <c r="N112" s="265" t="s">
        <v>728</v>
      </c>
      <c r="O112" s="265" t="s">
        <v>11</v>
      </c>
    </row>
    <row r="113" spans="1:15" s="264" customFormat="1" x14ac:dyDescent="0.25">
      <c r="A113" s="262">
        <v>3</v>
      </c>
      <c r="B113" s="262">
        <v>3</v>
      </c>
      <c r="C113" s="262" t="s">
        <v>1122</v>
      </c>
      <c r="D113" s="262">
        <v>6</v>
      </c>
      <c r="E113" s="262" t="s">
        <v>765</v>
      </c>
      <c r="F113" s="262">
        <v>1</v>
      </c>
      <c r="G113" s="262">
        <v>1</v>
      </c>
      <c r="H113" s="262">
        <v>0</v>
      </c>
      <c r="I113" s="263">
        <v>883439.59326171805</v>
      </c>
      <c r="J113" s="262" t="s">
        <v>61</v>
      </c>
      <c r="K113" s="262" t="s">
        <v>62</v>
      </c>
      <c r="L113" s="262" t="s">
        <v>63</v>
      </c>
      <c r="M113" s="262" t="s">
        <v>64</v>
      </c>
      <c r="N113" s="262" t="s">
        <v>727</v>
      </c>
      <c r="O113" s="262" t="s">
        <v>11</v>
      </c>
    </row>
    <row r="114" spans="1:15" s="129" customFormat="1" x14ac:dyDescent="0.25">
      <c r="A114" s="130">
        <v>3</v>
      </c>
      <c r="B114" s="130">
        <v>3</v>
      </c>
      <c r="C114" s="130" t="s">
        <v>1122</v>
      </c>
      <c r="D114" s="130">
        <v>6</v>
      </c>
      <c r="E114" s="130" t="s">
        <v>765</v>
      </c>
      <c r="F114" s="130">
        <v>1</v>
      </c>
      <c r="G114" s="130">
        <v>1</v>
      </c>
      <c r="H114" s="130">
        <v>0</v>
      </c>
      <c r="I114" s="131">
        <v>804873.673828125</v>
      </c>
      <c r="J114" s="130" t="s">
        <v>319</v>
      </c>
      <c r="K114" s="130" t="s">
        <v>320</v>
      </c>
      <c r="L114" s="130" t="s">
        <v>30</v>
      </c>
      <c r="M114" s="130" t="s">
        <v>732</v>
      </c>
      <c r="N114" s="130" t="s">
        <v>15</v>
      </c>
      <c r="O114" s="130" t="s">
        <v>11</v>
      </c>
    </row>
    <row r="115" spans="1:15" s="218" customFormat="1" x14ac:dyDescent="0.25">
      <c r="A115" s="265">
        <v>3</v>
      </c>
      <c r="B115" s="265">
        <v>3</v>
      </c>
      <c r="C115" s="265" t="s">
        <v>1122</v>
      </c>
      <c r="D115" s="265">
        <v>6</v>
      </c>
      <c r="E115" s="265" t="s">
        <v>765</v>
      </c>
      <c r="F115" s="265">
        <v>1</v>
      </c>
      <c r="G115" s="265">
        <v>1</v>
      </c>
      <c r="H115" s="265">
        <v>0</v>
      </c>
      <c r="I115" s="266">
        <v>302677.78955078102</v>
      </c>
      <c r="J115" s="265" t="s">
        <v>293</v>
      </c>
      <c r="K115" s="265" t="s">
        <v>294</v>
      </c>
      <c r="L115" s="265" t="s">
        <v>63</v>
      </c>
      <c r="M115" s="265" t="s">
        <v>64</v>
      </c>
      <c r="N115" s="265" t="s">
        <v>728</v>
      </c>
      <c r="O115" s="265" t="s">
        <v>11</v>
      </c>
    </row>
    <row r="116" spans="1:15" s="264" customFormat="1" x14ac:dyDescent="0.25">
      <c r="A116" s="262">
        <v>3</v>
      </c>
      <c r="B116" s="262">
        <v>3</v>
      </c>
      <c r="C116" s="262" t="s">
        <v>1122</v>
      </c>
      <c r="D116" s="262">
        <v>6</v>
      </c>
      <c r="E116" s="262" t="s">
        <v>765</v>
      </c>
      <c r="F116" s="262">
        <v>1</v>
      </c>
      <c r="G116" s="262">
        <v>1</v>
      </c>
      <c r="H116" s="262">
        <v>0</v>
      </c>
      <c r="I116" s="263">
        <v>298179.248046875</v>
      </c>
      <c r="J116" s="262" t="s">
        <v>69</v>
      </c>
      <c r="K116" s="262" t="s">
        <v>70</v>
      </c>
      <c r="L116" s="262" t="s">
        <v>14</v>
      </c>
      <c r="M116" s="262" t="s">
        <v>740</v>
      </c>
      <c r="N116" s="262" t="s">
        <v>727</v>
      </c>
      <c r="O116" s="262" t="s">
        <v>11</v>
      </c>
    </row>
    <row r="117" spans="1:15" s="129" customFormat="1" x14ac:dyDescent="0.25">
      <c r="A117" s="130">
        <v>3</v>
      </c>
      <c r="B117" s="130">
        <v>3</v>
      </c>
      <c r="C117" s="130" t="s">
        <v>1122</v>
      </c>
      <c r="D117" s="130">
        <v>6</v>
      </c>
      <c r="E117" s="130" t="s">
        <v>765</v>
      </c>
      <c r="F117" s="130">
        <v>1</v>
      </c>
      <c r="G117" s="130">
        <v>1</v>
      </c>
      <c r="H117" s="130">
        <v>0</v>
      </c>
      <c r="I117" s="131">
        <v>964260.22119140602</v>
      </c>
      <c r="J117" s="130" t="s">
        <v>531</v>
      </c>
      <c r="K117" s="130" t="s">
        <v>532</v>
      </c>
      <c r="L117" s="130" t="s">
        <v>24</v>
      </c>
      <c r="M117" s="130" t="s">
        <v>735</v>
      </c>
      <c r="N117" s="130" t="s">
        <v>15</v>
      </c>
      <c r="O117" s="130" t="s">
        <v>11</v>
      </c>
    </row>
    <row r="118" spans="1:15" s="264" customFormat="1" x14ac:dyDescent="0.25">
      <c r="A118" s="262">
        <v>3</v>
      </c>
      <c r="B118" s="262">
        <v>3</v>
      </c>
      <c r="C118" s="262" t="s">
        <v>1122</v>
      </c>
      <c r="D118" s="262">
        <v>6</v>
      </c>
      <c r="E118" s="262" t="s">
        <v>765</v>
      </c>
      <c r="F118" s="262">
        <v>1</v>
      </c>
      <c r="G118" s="262">
        <v>1</v>
      </c>
      <c r="H118" s="262">
        <v>0</v>
      </c>
      <c r="I118" s="263">
        <v>40939.918457031199</v>
      </c>
      <c r="J118" s="262" t="s">
        <v>253</v>
      </c>
      <c r="K118" s="262" t="s">
        <v>254</v>
      </c>
      <c r="L118" s="262" t="s">
        <v>30</v>
      </c>
      <c r="M118" s="262" t="s">
        <v>732</v>
      </c>
      <c r="N118" s="262" t="s">
        <v>727</v>
      </c>
      <c r="O118" s="262" t="s">
        <v>11</v>
      </c>
    </row>
    <row r="119" spans="1:15" s="129" customFormat="1" x14ac:dyDescent="0.25">
      <c r="A119" s="130">
        <v>3</v>
      </c>
      <c r="B119" s="130">
        <v>3</v>
      </c>
      <c r="C119" s="130" t="s">
        <v>1122</v>
      </c>
      <c r="D119" s="130">
        <v>6</v>
      </c>
      <c r="E119" s="130" t="s">
        <v>765</v>
      </c>
      <c r="F119" s="130">
        <v>1</v>
      </c>
      <c r="G119" s="130">
        <v>1</v>
      </c>
      <c r="H119" s="130">
        <v>0</v>
      </c>
      <c r="I119" s="131">
        <v>2166.6328125</v>
      </c>
      <c r="J119" s="130" t="s">
        <v>255</v>
      </c>
      <c r="K119" s="130" t="s">
        <v>256</v>
      </c>
      <c r="L119" s="130" t="s">
        <v>30</v>
      </c>
      <c r="M119" s="130" t="s">
        <v>732</v>
      </c>
      <c r="N119" s="130" t="s">
        <v>15</v>
      </c>
      <c r="O119" s="130" t="s">
        <v>11</v>
      </c>
    </row>
    <row r="120" spans="1:15" s="218" customFormat="1" x14ac:dyDescent="0.25">
      <c r="A120" s="265">
        <v>3</v>
      </c>
      <c r="B120" s="265">
        <v>3</v>
      </c>
      <c r="C120" s="265" t="s">
        <v>1122</v>
      </c>
      <c r="D120" s="265">
        <v>6</v>
      </c>
      <c r="E120" s="265" t="s">
        <v>765</v>
      </c>
      <c r="F120" s="265">
        <v>1</v>
      </c>
      <c r="G120" s="265">
        <v>1</v>
      </c>
      <c r="H120" s="265">
        <v>0</v>
      </c>
      <c r="I120" s="266">
        <v>128830.02050781201</v>
      </c>
      <c r="J120" s="265" t="s">
        <v>460</v>
      </c>
      <c r="K120" s="265" t="s">
        <v>461</v>
      </c>
      <c r="L120" s="265" t="s">
        <v>30</v>
      </c>
      <c r="M120" s="265" t="s">
        <v>732</v>
      </c>
      <c r="N120" s="265" t="s">
        <v>728</v>
      </c>
      <c r="O120" s="265" t="s">
        <v>11</v>
      </c>
    </row>
    <row r="121" spans="1:15" s="28" customFormat="1" x14ac:dyDescent="0.25">
      <c r="A121" s="86">
        <v>3</v>
      </c>
      <c r="B121" s="86">
        <v>3</v>
      </c>
      <c r="C121" s="86" t="s">
        <v>1122</v>
      </c>
      <c r="D121" s="86">
        <v>6</v>
      </c>
      <c r="E121" s="86" t="s">
        <v>765</v>
      </c>
      <c r="F121" s="86">
        <v>1</v>
      </c>
      <c r="G121" s="86">
        <v>1</v>
      </c>
      <c r="H121" s="86">
        <v>0</v>
      </c>
      <c r="I121" s="87">
        <v>92069.567871093706</v>
      </c>
      <c r="J121" s="86" t="s">
        <v>535</v>
      </c>
      <c r="K121" s="86" t="s">
        <v>536</v>
      </c>
      <c r="L121" s="86" t="s">
        <v>502</v>
      </c>
      <c r="M121" s="86" t="s">
        <v>736</v>
      </c>
      <c r="N121" s="86" t="s">
        <v>726</v>
      </c>
      <c r="O121" s="86" t="s">
        <v>35</v>
      </c>
    </row>
    <row r="122" spans="1:15" s="218" customFormat="1" x14ac:dyDescent="0.25">
      <c r="A122" s="265">
        <v>3</v>
      </c>
      <c r="B122" s="265">
        <v>3</v>
      </c>
      <c r="C122" s="265" t="s">
        <v>1122</v>
      </c>
      <c r="D122" s="265">
        <v>6</v>
      </c>
      <c r="E122" s="265" t="s">
        <v>765</v>
      </c>
      <c r="F122" s="265">
        <v>1</v>
      </c>
      <c r="G122" s="265">
        <v>1</v>
      </c>
      <c r="H122" s="265">
        <v>0</v>
      </c>
      <c r="I122" s="266">
        <v>94278.939453125</v>
      </c>
      <c r="J122" s="265" t="s">
        <v>67</v>
      </c>
      <c r="K122" s="265" t="s">
        <v>68</v>
      </c>
      <c r="L122" s="265" t="s">
        <v>30</v>
      </c>
      <c r="M122" s="265" t="s">
        <v>732</v>
      </c>
      <c r="N122" s="265" t="s">
        <v>728</v>
      </c>
      <c r="O122" s="265" t="s">
        <v>11</v>
      </c>
    </row>
    <row r="123" spans="1:15" s="218" customFormat="1" x14ac:dyDescent="0.25">
      <c r="A123" s="265">
        <v>3</v>
      </c>
      <c r="B123" s="265">
        <v>3</v>
      </c>
      <c r="C123" s="265" t="s">
        <v>1122</v>
      </c>
      <c r="D123" s="265">
        <v>6</v>
      </c>
      <c r="E123" s="265" t="s">
        <v>765</v>
      </c>
      <c r="F123" s="265">
        <v>1</v>
      </c>
      <c r="G123" s="265">
        <v>1</v>
      </c>
      <c r="H123" s="265">
        <v>0</v>
      </c>
      <c r="I123" s="266">
        <v>4564.3720703125</v>
      </c>
      <c r="J123" s="265" t="s">
        <v>442</v>
      </c>
      <c r="K123" s="265" t="s">
        <v>443</v>
      </c>
      <c r="L123" s="265" t="s">
        <v>14</v>
      </c>
      <c r="M123" s="265" t="s">
        <v>740</v>
      </c>
      <c r="N123" s="265" t="s">
        <v>728</v>
      </c>
      <c r="O123" s="265" t="s">
        <v>11</v>
      </c>
    </row>
    <row r="124" spans="1:15" s="129" customFormat="1" x14ac:dyDescent="0.25">
      <c r="A124" s="130">
        <v>3</v>
      </c>
      <c r="B124" s="130">
        <v>3</v>
      </c>
      <c r="C124" s="130" t="s">
        <v>1122</v>
      </c>
      <c r="D124" s="130">
        <v>6</v>
      </c>
      <c r="E124" s="130" t="s">
        <v>765</v>
      </c>
      <c r="F124" s="130">
        <v>1</v>
      </c>
      <c r="G124" s="130">
        <v>1</v>
      </c>
      <c r="H124" s="130">
        <v>0</v>
      </c>
      <c r="I124" s="131">
        <v>2055051.97558593</v>
      </c>
      <c r="J124" s="130" t="s">
        <v>480</v>
      </c>
      <c r="K124" s="130" t="s">
        <v>481</v>
      </c>
      <c r="L124" s="130" t="s">
        <v>63</v>
      </c>
      <c r="M124" s="130" t="s">
        <v>64</v>
      </c>
      <c r="N124" s="130" t="s">
        <v>15</v>
      </c>
      <c r="O124" s="130" t="s">
        <v>11</v>
      </c>
    </row>
    <row r="125" spans="1:15" s="264" customFormat="1" x14ac:dyDescent="0.25">
      <c r="A125" s="262">
        <v>3</v>
      </c>
      <c r="B125" s="262">
        <v>3</v>
      </c>
      <c r="C125" s="262" t="s">
        <v>1122</v>
      </c>
      <c r="D125" s="262">
        <v>6</v>
      </c>
      <c r="E125" s="262" t="s">
        <v>765</v>
      </c>
      <c r="F125" s="262">
        <v>1</v>
      </c>
      <c r="G125" s="262">
        <v>1</v>
      </c>
      <c r="H125" s="262">
        <v>0</v>
      </c>
      <c r="I125" s="263">
        <v>74661.818847656206</v>
      </c>
      <c r="J125" s="262" t="s">
        <v>517</v>
      </c>
      <c r="K125" s="262" t="s">
        <v>518</v>
      </c>
      <c r="L125" s="262" t="s">
        <v>24</v>
      </c>
      <c r="M125" s="262" t="s">
        <v>735</v>
      </c>
      <c r="N125" s="262" t="s">
        <v>727</v>
      </c>
      <c r="O125" s="262" t="s">
        <v>11</v>
      </c>
    </row>
    <row r="126" spans="1:15" s="28" customFormat="1" x14ac:dyDescent="0.25">
      <c r="A126" s="86">
        <v>3</v>
      </c>
      <c r="B126" s="86">
        <v>3</v>
      </c>
      <c r="C126" s="86" t="s">
        <v>1122</v>
      </c>
      <c r="D126" s="86">
        <v>6</v>
      </c>
      <c r="E126" s="86" t="s">
        <v>765</v>
      </c>
      <c r="F126" s="86">
        <v>1</v>
      </c>
      <c r="G126" s="86">
        <v>1</v>
      </c>
      <c r="H126" s="86">
        <v>0</v>
      </c>
      <c r="I126" s="87">
        <v>585.81591796875</v>
      </c>
      <c r="J126" s="86" t="s">
        <v>537</v>
      </c>
      <c r="K126" s="86" t="s">
        <v>538</v>
      </c>
      <c r="L126" s="86" t="s">
        <v>63</v>
      </c>
      <c r="M126" s="86" t="s">
        <v>64</v>
      </c>
      <c r="N126" s="86" t="s">
        <v>726</v>
      </c>
      <c r="O126" s="86" t="s">
        <v>35</v>
      </c>
    </row>
    <row r="127" spans="1:15" s="218" customFormat="1" x14ac:dyDescent="0.25">
      <c r="A127" s="265">
        <v>3</v>
      </c>
      <c r="B127" s="265">
        <v>3</v>
      </c>
      <c r="C127" s="265" t="s">
        <v>1122</v>
      </c>
      <c r="D127" s="265">
        <v>6</v>
      </c>
      <c r="E127" s="265" t="s">
        <v>765</v>
      </c>
      <c r="F127" s="265">
        <v>1</v>
      </c>
      <c r="G127" s="265">
        <v>1</v>
      </c>
      <c r="H127" s="265">
        <v>0</v>
      </c>
      <c r="I127" s="266">
        <v>291781.54052734299</v>
      </c>
      <c r="J127" s="265" t="s">
        <v>215</v>
      </c>
      <c r="K127" s="265" t="s">
        <v>216</v>
      </c>
      <c r="L127" s="265" t="s">
        <v>63</v>
      </c>
      <c r="M127" s="265" t="s">
        <v>64</v>
      </c>
      <c r="N127" s="265" t="s">
        <v>728</v>
      </c>
      <c r="O127" s="265" t="s">
        <v>11</v>
      </c>
    </row>
    <row r="128" spans="1:15" s="129" customFormat="1" x14ac:dyDescent="0.25">
      <c r="A128" s="130">
        <v>3</v>
      </c>
      <c r="B128" s="130">
        <v>3</v>
      </c>
      <c r="C128" s="130" t="s">
        <v>1122</v>
      </c>
      <c r="D128" s="130">
        <v>6</v>
      </c>
      <c r="E128" s="130" t="s">
        <v>765</v>
      </c>
      <c r="F128" s="130">
        <v>1</v>
      </c>
      <c r="G128" s="130">
        <v>1</v>
      </c>
      <c r="H128" s="130">
        <v>0</v>
      </c>
      <c r="I128" s="131">
        <v>2102523.8330078102</v>
      </c>
      <c r="J128" s="130" t="s">
        <v>539</v>
      </c>
      <c r="K128" s="130" t="s">
        <v>540</v>
      </c>
      <c r="L128" s="130" t="s">
        <v>24</v>
      </c>
      <c r="M128" s="130" t="s">
        <v>735</v>
      </c>
      <c r="N128" s="130" t="s">
        <v>15</v>
      </c>
      <c r="O128" s="130" t="s">
        <v>11</v>
      </c>
    </row>
    <row r="129" spans="1:15" s="218" customFormat="1" x14ac:dyDescent="0.25">
      <c r="A129" s="265">
        <v>3</v>
      </c>
      <c r="B129" s="265">
        <v>3</v>
      </c>
      <c r="C129" s="265" t="s">
        <v>1122</v>
      </c>
      <c r="D129" s="265">
        <v>6</v>
      </c>
      <c r="E129" s="265" t="s">
        <v>765</v>
      </c>
      <c r="F129" s="265">
        <v>1</v>
      </c>
      <c r="G129" s="265">
        <v>1</v>
      </c>
      <c r="H129" s="265">
        <v>0</v>
      </c>
      <c r="I129" s="266">
        <v>333037.15917968698</v>
      </c>
      <c r="J129" s="265" t="s">
        <v>61</v>
      </c>
      <c r="K129" s="265" t="s">
        <v>62</v>
      </c>
      <c r="L129" s="265" t="s">
        <v>63</v>
      </c>
      <c r="M129" s="265" t="s">
        <v>64</v>
      </c>
      <c r="N129" s="265" t="s">
        <v>728</v>
      </c>
      <c r="O129" s="265" t="s">
        <v>11</v>
      </c>
    </row>
    <row r="130" spans="1:15" s="218" customFormat="1" x14ac:dyDescent="0.25">
      <c r="A130" s="265">
        <v>3</v>
      </c>
      <c r="B130" s="265">
        <v>3</v>
      </c>
      <c r="C130" s="265" t="s">
        <v>1122</v>
      </c>
      <c r="D130" s="265">
        <v>6</v>
      </c>
      <c r="E130" s="265" t="s">
        <v>765</v>
      </c>
      <c r="F130" s="265">
        <v>1</v>
      </c>
      <c r="G130" s="265">
        <v>1</v>
      </c>
      <c r="H130" s="265">
        <v>0</v>
      </c>
      <c r="I130" s="266">
        <v>156626.25830078099</v>
      </c>
      <c r="J130" s="265" t="s">
        <v>503</v>
      </c>
      <c r="K130" s="265" t="s">
        <v>504</v>
      </c>
      <c r="L130" s="265" t="s">
        <v>63</v>
      </c>
      <c r="M130" s="265" t="s">
        <v>64</v>
      </c>
      <c r="N130" s="265" t="s">
        <v>728</v>
      </c>
      <c r="O130" s="265" t="s">
        <v>11</v>
      </c>
    </row>
    <row r="131" spans="1:15" s="218" customFormat="1" x14ac:dyDescent="0.25">
      <c r="A131" s="265">
        <v>3</v>
      </c>
      <c r="B131" s="265">
        <v>3</v>
      </c>
      <c r="C131" s="265" t="s">
        <v>1122</v>
      </c>
      <c r="D131" s="265">
        <v>6</v>
      </c>
      <c r="E131" s="265" t="s">
        <v>765</v>
      </c>
      <c r="F131" s="265">
        <v>1</v>
      </c>
      <c r="G131" s="265">
        <v>1</v>
      </c>
      <c r="H131" s="265">
        <v>0</v>
      </c>
      <c r="I131" s="266">
        <v>110533.439941406</v>
      </c>
      <c r="J131" s="265" t="s">
        <v>267</v>
      </c>
      <c r="K131" s="265" t="s">
        <v>268</v>
      </c>
      <c r="L131" s="265" t="s">
        <v>14</v>
      </c>
      <c r="M131" s="265" t="s">
        <v>740</v>
      </c>
      <c r="N131" s="265" t="s">
        <v>728</v>
      </c>
      <c r="O131" s="265" t="s">
        <v>11</v>
      </c>
    </row>
    <row r="132" spans="1:15" s="28" customFormat="1" x14ac:dyDescent="0.25">
      <c r="A132" s="86">
        <v>3</v>
      </c>
      <c r="B132" s="86">
        <v>3</v>
      </c>
      <c r="C132" s="86" t="s">
        <v>1122</v>
      </c>
      <c r="D132" s="86">
        <v>6</v>
      </c>
      <c r="E132" s="86" t="s">
        <v>765</v>
      </c>
      <c r="F132" s="86">
        <v>1</v>
      </c>
      <c r="G132" s="86">
        <v>1</v>
      </c>
      <c r="H132" s="86">
        <v>0</v>
      </c>
      <c r="I132" s="87">
        <v>504057.28515625</v>
      </c>
      <c r="J132" s="86" t="s">
        <v>541</v>
      </c>
      <c r="K132" s="86" t="s">
        <v>542</v>
      </c>
      <c r="L132" s="86" t="s">
        <v>30</v>
      </c>
      <c r="M132" s="86" t="s">
        <v>732</v>
      </c>
      <c r="N132" s="86" t="s">
        <v>726</v>
      </c>
      <c r="O132" s="86" t="s">
        <v>35</v>
      </c>
    </row>
    <row r="133" spans="1:15" s="129" customFormat="1" x14ac:dyDescent="0.25">
      <c r="A133" s="130">
        <v>3</v>
      </c>
      <c r="B133" s="130">
        <v>3</v>
      </c>
      <c r="C133" s="130" t="s">
        <v>1122</v>
      </c>
      <c r="D133" s="130">
        <v>6</v>
      </c>
      <c r="E133" s="130" t="s">
        <v>765</v>
      </c>
      <c r="F133" s="130">
        <v>1</v>
      </c>
      <c r="G133" s="130">
        <v>1</v>
      </c>
      <c r="H133" s="130">
        <v>0</v>
      </c>
      <c r="I133" s="131">
        <v>2515651.8833007799</v>
      </c>
      <c r="J133" s="130" t="s">
        <v>525</v>
      </c>
      <c r="K133" s="130" t="s">
        <v>526</v>
      </c>
      <c r="L133" s="130" t="s">
        <v>63</v>
      </c>
      <c r="M133" s="130" t="s">
        <v>64</v>
      </c>
      <c r="N133" s="130" t="s">
        <v>15</v>
      </c>
      <c r="O133" s="130" t="s">
        <v>11</v>
      </c>
    </row>
    <row r="134" spans="1:15" s="218" customFormat="1" x14ac:dyDescent="0.25">
      <c r="A134" s="265">
        <v>3</v>
      </c>
      <c r="B134" s="265">
        <v>3</v>
      </c>
      <c r="C134" s="265" t="s">
        <v>1122</v>
      </c>
      <c r="D134" s="265">
        <v>6</v>
      </c>
      <c r="E134" s="265" t="s">
        <v>765</v>
      </c>
      <c r="F134" s="265">
        <v>1</v>
      </c>
      <c r="G134" s="265">
        <v>1</v>
      </c>
      <c r="H134" s="265">
        <v>0</v>
      </c>
      <c r="I134" s="266">
        <v>594484.20605468703</v>
      </c>
      <c r="J134" s="265" t="s">
        <v>291</v>
      </c>
      <c r="K134" s="265" t="s">
        <v>292</v>
      </c>
      <c r="L134" s="265" t="s">
        <v>24</v>
      </c>
      <c r="M134" s="265" t="s">
        <v>735</v>
      </c>
      <c r="N134" s="265" t="s">
        <v>728</v>
      </c>
      <c r="O134" s="265" t="s">
        <v>11</v>
      </c>
    </row>
    <row r="135" spans="1:15" s="218" customFormat="1" x14ac:dyDescent="0.25">
      <c r="A135" s="265">
        <v>3</v>
      </c>
      <c r="B135" s="265">
        <v>3</v>
      </c>
      <c r="C135" s="265" t="s">
        <v>1122</v>
      </c>
      <c r="D135" s="265">
        <v>6</v>
      </c>
      <c r="E135" s="265" t="s">
        <v>765</v>
      </c>
      <c r="F135" s="265">
        <v>1</v>
      </c>
      <c r="G135" s="265">
        <v>1</v>
      </c>
      <c r="H135" s="265">
        <v>0</v>
      </c>
      <c r="I135" s="266">
        <v>30755.067871093699</v>
      </c>
      <c r="J135" s="265" t="s">
        <v>265</v>
      </c>
      <c r="K135" s="265" t="s">
        <v>266</v>
      </c>
      <c r="L135" s="265" t="s">
        <v>63</v>
      </c>
      <c r="M135" s="265" t="s">
        <v>64</v>
      </c>
      <c r="N135" s="265" t="s">
        <v>728</v>
      </c>
      <c r="O135" s="265" t="s">
        <v>11</v>
      </c>
    </row>
    <row r="136" spans="1:15" s="129" customFormat="1" x14ac:dyDescent="0.25">
      <c r="A136" s="130">
        <v>3</v>
      </c>
      <c r="B136" s="130">
        <v>3</v>
      </c>
      <c r="C136" s="130" t="s">
        <v>1122</v>
      </c>
      <c r="D136" s="130">
        <v>6</v>
      </c>
      <c r="E136" s="130" t="s">
        <v>765</v>
      </c>
      <c r="F136" s="130">
        <v>1</v>
      </c>
      <c r="G136" s="130">
        <v>1</v>
      </c>
      <c r="H136" s="130">
        <v>0</v>
      </c>
      <c r="I136" s="131">
        <v>7283.9169921875</v>
      </c>
      <c r="J136" s="130" t="s">
        <v>391</v>
      </c>
      <c r="K136" s="130" t="s">
        <v>392</v>
      </c>
      <c r="L136" s="130" t="s">
        <v>14</v>
      </c>
      <c r="M136" s="130" t="s">
        <v>740</v>
      </c>
      <c r="N136" s="130" t="s">
        <v>15</v>
      </c>
      <c r="O136" s="130" t="s">
        <v>741</v>
      </c>
    </row>
    <row r="137" spans="1:15" s="218" customFormat="1" x14ac:dyDescent="0.25">
      <c r="A137" s="265">
        <v>3</v>
      </c>
      <c r="B137" s="265">
        <v>3</v>
      </c>
      <c r="C137" s="265" t="s">
        <v>1122</v>
      </c>
      <c r="D137" s="265">
        <v>6</v>
      </c>
      <c r="E137" s="265" t="s">
        <v>765</v>
      </c>
      <c r="F137" s="265">
        <v>1</v>
      </c>
      <c r="G137" s="265">
        <v>1</v>
      </c>
      <c r="H137" s="265">
        <v>0</v>
      </c>
      <c r="I137" s="266">
        <v>240598.15722656201</v>
      </c>
      <c r="J137" s="265" t="s">
        <v>289</v>
      </c>
      <c r="K137" s="265" t="s">
        <v>290</v>
      </c>
      <c r="L137" s="265" t="s">
        <v>63</v>
      </c>
      <c r="M137" s="265" t="s">
        <v>64</v>
      </c>
      <c r="N137" s="265" t="s">
        <v>728</v>
      </c>
      <c r="O137" s="265" t="s">
        <v>11</v>
      </c>
    </row>
    <row r="138" spans="1:15" s="264" customFormat="1" x14ac:dyDescent="0.25">
      <c r="A138" s="262">
        <v>3</v>
      </c>
      <c r="B138" s="262">
        <v>3</v>
      </c>
      <c r="C138" s="262" t="s">
        <v>1122</v>
      </c>
      <c r="D138" s="262">
        <v>6</v>
      </c>
      <c r="E138" s="262" t="s">
        <v>765</v>
      </c>
      <c r="F138" s="262">
        <v>1</v>
      </c>
      <c r="G138" s="262">
        <v>1</v>
      </c>
      <c r="H138" s="262">
        <v>0</v>
      </c>
      <c r="I138" s="263">
        <v>819837.44580078102</v>
      </c>
      <c r="J138" s="262" t="s">
        <v>51</v>
      </c>
      <c r="K138" s="262" t="s">
        <v>52</v>
      </c>
      <c r="L138" s="262" t="s">
        <v>14</v>
      </c>
      <c r="M138" s="262" t="s">
        <v>740</v>
      </c>
      <c r="N138" s="262" t="s">
        <v>727</v>
      </c>
      <c r="O138" s="262" t="s">
        <v>11</v>
      </c>
    </row>
    <row r="139" spans="1:15" s="264" customFormat="1" x14ac:dyDescent="0.25">
      <c r="A139" s="262">
        <v>3</v>
      </c>
      <c r="B139" s="262">
        <v>3</v>
      </c>
      <c r="C139" s="262" t="s">
        <v>1122</v>
      </c>
      <c r="D139" s="262">
        <v>6</v>
      </c>
      <c r="E139" s="262" t="s">
        <v>765</v>
      </c>
      <c r="F139" s="262">
        <v>1</v>
      </c>
      <c r="G139" s="262">
        <v>1</v>
      </c>
      <c r="H139" s="262">
        <v>0</v>
      </c>
      <c r="I139" s="263">
        <v>375627.24755859299</v>
      </c>
      <c r="J139" s="262" t="s">
        <v>422</v>
      </c>
      <c r="K139" s="262" t="s">
        <v>423</v>
      </c>
      <c r="L139" s="262" t="s">
        <v>63</v>
      </c>
      <c r="M139" s="262" t="s">
        <v>64</v>
      </c>
      <c r="N139" s="262" t="s">
        <v>727</v>
      </c>
      <c r="O139" s="262" t="s">
        <v>11</v>
      </c>
    </row>
    <row r="140" spans="1:15" s="264" customFormat="1" x14ac:dyDescent="0.25">
      <c r="A140" s="262">
        <v>3</v>
      </c>
      <c r="B140" s="262">
        <v>3</v>
      </c>
      <c r="C140" s="262" t="s">
        <v>1122</v>
      </c>
      <c r="D140" s="262">
        <v>6</v>
      </c>
      <c r="E140" s="262" t="s">
        <v>765</v>
      </c>
      <c r="F140" s="262">
        <v>1</v>
      </c>
      <c r="G140" s="262">
        <v>1</v>
      </c>
      <c r="H140" s="262">
        <v>0</v>
      </c>
      <c r="I140" s="263">
        <v>225420.96777343701</v>
      </c>
      <c r="J140" s="262" t="s">
        <v>561</v>
      </c>
      <c r="K140" s="262" t="s">
        <v>562</v>
      </c>
      <c r="L140" s="262" t="s">
        <v>24</v>
      </c>
      <c r="M140" s="262" t="s">
        <v>735</v>
      </c>
      <c r="N140" s="262" t="s">
        <v>727</v>
      </c>
      <c r="O140" s="262" t="s">
        <v>11</v>
      </c>
    </row>
    <row r="141" spans="1:15" s="129" customFormat="1" x14ac:dyDescent="0.25">
      <c r="A141" s="130">
        <v>3</v>
      </c>
      <c r="B141" s="130">
        <v>3</v>
      </c>
      <c r="C141" s="130" t="s">
        <v>1122</v>
      </c>
      <c r="D141" s="130">
        <v>6</v>
      </c>
      <c r="E141" s="130" t="s">
        <v>765</v>
      </c>
      <c r="F141" s="130">
        <v>1</v>
      </c>
      <c r="G141" s="130">
        <v>1</v>
      </c>
      <c r="H141" s="130">
        <v>0</v>
      </c>
      <c r="I141" s="131">
        <v>764157.07519531203</v>
      </c>
      <c r="J141" s="130" t="s">
        <v>517</v>
      </c>
      <c r="K141" s="130" t="s">
        <v>518</v>
      </c>
      <c r="L141" s="130" t="s">
        <v>24</v>
      </c>
      <c r="M141" s="130" t="s">
        <v>735</v>
      </c>
      <c r="N141" s="130" t="s">
        <v>15</v>
      </c>
      <c r="O141" s="130" t="s">
        <v>11</v>
      </c>
    </row>
    <row r="142" spans="1:15" s="264" customFormat="1" x14ac:dyDescent="0.25">
      <c r="A142" s="262">
        <v>3</v>
      </c>
      <c r="B142" s="262">
        <v>3</v>
      </c>
      <c r="C142" s="262" t="s">
        <v>1122</v>
      </c>
      <c r="D142" s="262">
        <v>6</v>
      </c>
      <c r="E142" s="262" t="s">
        <v>765</v>
      </c>
      <c r="F142" s="262">
        <v>1</v>
      </c>
      <c r="G142" s="262">
        <v>1</v>
      </c>
      <c r="H142" s="262">
        <v>0</v>
      </c>
      <c r="I142" s="263">
        <v>88178.889160156206</v>
      </c>
      <c r="J142" s="262" t="s">
        <v>293</v>
      </c>
      <c r="K142" s="262" t="s">
        <v>294</v>
      </c>
      <c r="L142" s="262" t="s">
        <v>63</v>
      </c>
      <c r="M142" s="262" t="s">
        <v>64</v>
      </c>
      <c r="N142" s="262" t="s">
        <v>727</v>
      </c>
      <c r="O142" s="262" t="s">
        <v>11</v>
      </c>
    </row>
    <row r="143" spans="1:15" s="264" customFormat="1" x14ac:dyDescent="0.25">
      <c r="A143" s="262">
        <v>3</v>
      </c>
      <c r="B143" s="262">
        <v>3</v>
      </c>
      <c r="C143" s="262" t="s">
        <v>1122</v>
      </c>
      <c r="D143" s="262">
        <v>6</v>
      </c>
      <c r="E143" s="262" t="s">
        <v>765</v>
      </c>
      <c r="F143" s="262">
        <v>1</v>
      </c>
      <c r="G143" s="262">
        <v>1</v>
      </c>
      <c r="H143" s="262">
        <v>0</v>
      </c>
      <c r="I143" s="263">
        <v>235083.45849609299</v>
      </c>
      <c r="J143" s="262" t="s">
        <v>525</v>
      </c>
      <c r="K143" s="262" t="s">
        <v>526</v>
      </c>
      <c r="L143" s="262" t="s">
        <v>63</v>
      </c>
      <c r="M143" s="262" t="s">
        <v>64</v>
      </c>
      <c r="N143" s="262" t="s">
        <v>727</v>
      </c>
      <c r="O143" s="262" t="s">
        <v>11</v>
      </c>
    </row>
    <row r="144" spans="1:15" s="264" customFormat="1" x14ac:dyDescent="0.25">
      <c r="A144" s="262">
        <v>3</v>
      </c>
      <c r="B144" s="262">
        <v>3</v>
      </c>
      <c r="C144" s="262" t="s">
        <v>1122</v>
      </c>
      <c r="D144" s="262">
        <v>6</v>
      </c>
      <c r="E144" s="262" t="s">
        <v>765</v>
      </c>
      <c r="F144" s="262">
        <v>1</v>
      </c>
      <c r="G144" s="262">
        <v>1</v>
      </c>
      <c r="H144" s="262">
        <v>0</v>
      </c>
      <c r="I144" s="263">
        <v>0.419921875</v>
      </c>
      <c r="J144" s="262" t="s">
        <v>363</v>
      </c>
      <c r="K144" s="262" t="s">
        <v>364</v>
      </c>
      <c r="L144" s="262" t="s">
        <v>18</v>
      </c>
      <c r="M144" s="262" t="s">
        <v>19</v>
      </c>
      <c r="N144" s="262" t="s">
        <v>727</v>
      </c>
      <c r="O144" s="262" t="s">
        <v>11</v>
      </c>
    </row>
    <row r="145" spans="1:15" s="264" customFormat="1" x14ac:dyDescent="0.25">
      <c r="A145" s="262">
        <v>3</v>
      </c>
      <c r="B145" s="262">
        <v>3</v>
      </c>
      <c r="C145" s="262" t="s">
        <v>1122</v>
      </c>
      <c r="D145" s="262">
        <v>6</v>
      </c>
      <c r="E145" s="262" t="s">
        <v>765</v>
      </c>
      <c r="F145" s="262">
        <v>1</v>
      </c>
      <c r="G145" s="262">
        <v>1</v>
      </c>
      <c r="H145" s="262">
        <v>0</v>
      </c>
      <c r="I145" s="263">
        <v>307686.84765625</v>
      </c>
      <c r="J145" s="262" t="s">
        <v>563</v>
      </c>
      <c r="K145" s="262" t="s">
        <v>564</v>
      </c>
      <c r="L145" s="262" t="s">
        <v>24</v>
      </c>
      <c r="M145" s="262" t="s">
        <v>735</v>
      </c>
      <c r="N145" s="262" t="s">
        <v>727</v>
      </c>
      <c r="O145" s="262" t="s">
        <v>11</v>
      </c>
    </row>
    <row r="146" spans="1:15" s="129" customFormat="1" x14ac:dyDescent="0.25">
      <c r="A146" s="130">
        <v>3</v>
      </c>
      <c r="B146" s="130">
        <v>3</v>
      </c>
      <c r="C146" s="130" t="s">
        <v>1122</v>
      </c>
      <c r="D146" s="130">
        <v>6</v>
      </c>
      <c r="E146" s="130" t="s">
        <v>765</v>
      </c>
      <c r="F146" s="130">
        <v>1</v>
      </c>
      <c r="G146" s="130">
        <v>1</v>
      </c>
      <c r="H146" s="130">
        <v>0</v>
      </c>
      <c r="I146" s="131">
        <v>1146110.9902343701</v>
      </c>
      <c r="J146" s="130" t="s">
        <v>563</v>
      </c>
      <c r="K146" s="130" t="s">
        <v>564</v>
      </c>
      <c r="L146" s="130" t="s">
        <v>24</v>
      </c>
      <c r="M146" s="130" t="s">
        <v>735</v>
      </c>
      <c r="N146" s="130" t="s">
        <v>15</v>
      </c>
      <c r="O146" s="130" t="s">
        <v>11</v>
      </c>
    </row>
    <row r="147" spans="1:15" s="264" customFormat="1" x14ac:dyDescent="0.25">
      <c r="A147" s="262">
        <v>3</v>
      </c>
      <c r="B147" s="262">
        <v>3</v>
      </c>
      <c r="C147" s="262" t="s">
        <v>1122</v>
      </c>
      <c r="D147" s="262">
        <v>6</v>
      </c>
      <c r="E147" s="262" t="s">
        <v>765</v>
      </c>
      <c r="F147" s="262">
        <v>1</v>
      </c>
      <c r="G147" s="262">
        <v>1</v>
      </c>
      <c r="H147" s="262">
        <v>0</v>
      </c>
      <c r="I147" s="263">
        <v>253432.13427734299</v>
      </c>
      <c r="J147" s="262" t="s">
        <v>327</v>
      </c>
      <c r="K147" s="262" t="s">
        <v>328</v>
      </c>
      <c r="L147" s="262" t="s">
        <v>63</v>
      </c>
      <c r="M147" s="262" t="s">
        <v>64</v>
      </c>
      <c r="N147" s="262" t="s">
        <v>727</v>
      </c>
      <c r="O147" s="262" t="s">
        <v>11</v>
      </c>
    </row>
    <row r="148" spans="1:15" s="129" customFormat="1" x14ac:dyDescent="0.25">
      <c r="A148" s="130">
        <v>3</v>
      </c>
      <c r="B148" s="130">
        <v>3</v>
      </c>
      <c r="C148" s="130" t="s">
        <v>1122</v>
      </c>
      <c r="D148" s="130">
        <v>6</v>
      </c>
      <c r="E148" s="130" t="s">
        <v>765</v>
      </c>
      <c r="F148" s="130">
        <v>1</v>
      </c>
      <c r="G148" s="130">
        <v>1</v>
      </c>
      <c r="H148" s="130">
        <v>0</v>
      </c>
      <c r="I148" s="131">
        <v>2695500.6323242099</v>
      </c>
      <c r="J148" s="130" t="s">
        <v>569</v>
      </c>
      <c r="K148" s="130" t="s">
        <v>570</v>
      </c>
      <c r="L148" s="130" t="s">
        <v>24</v>
      </c>
      <c r="M148" s="130" t="s">
        <v>735</v>
      </c>
      <c r="N148" s="130" t="s">
        <v>15</v>
      </c>
      <c r="O148" s="130" t="s">
        <v>11</v>
      </c>
    </row>
    <row r="149" spans="1:15" s="129" customFormat="1" x14ac:dyDescent="0.25">
      <c r="A149" s="130">
        <v>3</v>
      </c>
      <c r="B149" s="130">
        <v>3</v>
      </c>
      <c r="C149" s="130" t="s">
        <v>1122</v>
      </c>
      <c r="D149" s="130">
        <v>6</v>
      </c>
      <c r="E149" s="130" t="s">
        <v>765</v>
      </c>
      <c r="F149" s="130">
        <v>1</v>
      </c>
      <c r="G149" s="130">
        <v>1</v>
      </c>
      <c r="H149" s="130">
        <v>0</v>
      </c>
      <c r="I149" s="131">
        <v>2905811.5668945299</v>
      </c>
      <c r="J149" s="130" t="s">
        <v>38</v>
      </c>
      <c r="K149" s="130" t="s">
        <v>39</v>
      </c>
      <c r="L149" s="130" t="s">
        <v>24</v>
      </c>
      <c r="M149" s="130" t="s">
        <v>735</v>
      </c>
      <c r="N149" s="130" t="s">
        <v>15</v>
      </c>
      <c r="O149" s="130" t="s">
        <v>11</v>
      </c>
    </row>
    <row r="150" spans="1:15" s="129" customFormat="1" x14ac:dyDescent="0.25">
      <c r="A150" s="130">
        <v>3</v>
      </c>
      <c r="B150" s="130">
        <v>3</v>
      </c>
      <c r="C150" s="130" t="s">
        <v>1122</v>
      </c>
      <c r="D150" s="130">
        <v>6</v>
      </c>
      <c r="E150" s="130" t="s">
        <v>765</v>
      </c>
      <c r="F150" s="130">
        <v>1</v>
      </c>
      <c r="G150" s="130">
        <v>1</v>
      </c>
      <c r="H150" s="130">
        <v>0</v>
      </c>
      <c r="I150" s="131">
        <v>215155.87939453099</v>
      </c>
      <c r="J150" s="130" t="s">
        <v>67</v>
      </c>
      <c r="K150" s="130" t="s">
        <v>68</v>
      </c>
      <c r="L150" s="130" t="s">
        <v>30</v>
      </c>
      <c r="M150" s="130" t="s">
        <v>732</v>
      </c>
      <c r="N150" s="130" t="s">
        <v>15</v>
      </c>
      <c r="O150" s="130" t="s">
        <v>11</v>
      </c>
    </row>
    <row r="151" spans="1:15" s="218" customFormat="1" x14ac:dyDescent="0.25">
      <c r="A151" s="265">
        <v>3</v>
      </c>
      <c r="B151" s="265">
        <v>3</v>
      </c>
      <c r="C151" s="265" t="s">
        <v>1122</v>
      </c>
      <c r="D151" s="265">
        <v>6</v>
      </c>
      <c r="E151" s="265" t="s">
        <v>765</v>
      </c>
      <c r="F151" s="265">
        <v>1</v>
      </c>
      <c r="G151" s="265">
        <v>1</v>
      </c>
      <c r="H151" s="265">
        <v>0</v>
      </c>
      <c r="I151" s="266">
        <v>177650.15087890599</v>
      </c>
      <c r="J151" s="265" t="s">
        <v>309</v>
      </c>
      <c r="K151" s="265" t="s">
        <v>310</v>
      </c>
      <c r="L151" s="265" t="s">
        <v>63</v>
      </c>
      <c r="M151" s="265" t="s">
        <v>64</v>
      </c>
      <c r="N151" s="265" t="s">
        <v>728</v>
      </c>
      <c r="O151" s="265" t="s">
        <v>11</v>
      </c>
    </row>
    <row r="152" spans="1:15" s="264" customFormat="1" x14ac:dyDescent="0.25">
      <c r="A152" s="262">
        <v>3</v>
      </c>
      <c r="B152" s="262">
        <v>3</v>
      </c>
      <c r="C152" s="262" t="s">
        <v>1122</v>
      </c>
      <c r="D152" s="262">
        <v>6</v>
      </c>
      <c r="E152" s="262" t="s">
        <v>765</v>
      </c>
      <c r="F152" s="262">
        <v>1</v>
      </c>
      <c r="G152" s="262">
        <v>1</v>
      </c>
      <c r="H152" s="262">
        <v>0</v>
      </c>
      <c r="I152" s="263">
        <v>147265.15673828099</v>
      </c>
      <c r="J152" s="262" t="s">
        <v>319</v>
      </c>
      <c r="K152" s="262" t="s">
        <v>320</v>
      </c>
      <c r="L152" s="262" t="s">
        <v>30</v>
      </c>
      <c r="M152" s="262" t="s">
        <v>732</v>
      </c>
      <c r="N152" s="262" t="s">
        <v>727</v>
      </c>
      <c r="O152" s="262" t="s">
        <v>11</v>
      </c>
    </row>
    <row r="153" spans="1:15" s="264" customFormat="1" x14ac:dyDescent="0.25">
      <c r="A153" s="262">
        <v>3</v>
      </c>
      <c r="B153" s="262">
        <v>3</v>
      </c>
      <c r="C153" s="262" t="s">
        <v>1122</v>
      </c>
      <c r="D153" s="262">
        <v>6</v>
      </c>
      <c r="E153" s="262" t="s">
        <v>765</v>
      </c>
      <c r="F153" s="262">
        <v>1</v>
      </c>
      <c r="G153" s="262">
        <v>1</v>
      </c>
      <c r="H153" s="262">
        <v>0</v>
      </c>
      <c r="I153" s="263">
        <v>138521.63330078099</v>
      </c>
      <c r="J153" s="262" t="s">
        <v>215</v>
      </c>
      <c r="K153" s="262" t="s">
        <v>216</v>
      </c>
      <c r="L153" s="262" t="s">
        <v>63</v>
      </c>
      <c r="M153" s="262" t="s">
        <v>64</v>
      </c>
      <c r="N153" s="262" t="s">
        <v>727</v>
      </c>
      <c r="O153" s="262" t="s">
        <v>11</v>
      </c>
    </row>
    <row r="154" spans="1:15" s="129" customFormat="1" x14ac:dyDescent="0.25">
      <c r="A154" s="130">
        <v>3</v>
      </c>
      <c r="B154" s="130">
        <v>3</v>
      </c>
      <c r="C154" s="130" t="s">
        <v>1122</v>
      </c>
      <c r="D154" s="130">
        <v>6</v>
      </c>
      <c r="E154" s="130" t="s">
        <v>765</v>
      </c>
      <c r="F154" s="130">
        <v>1</v>
      </c>
      <c r="G154" s="130">
        <v>1</v>
      </c>
      <c r="H154" s="130">
        <v>0</v>
      </c>
      <c r="I154" s="131">
        <v>1688157.95996093</v>
      </c>
      <c r="J154" s="130" t="s">
        <v>573</v>
      </c>
      <c r="K154" s="130" t="s">
        <v>574</v>
      </c>
      <c r="L154" s="130" t="s">
        <v>63</v>
      </c>
      <c r="M154" s="130" t="s">
        <v>64</v>
      </c>
      <c r="N154" s="130" t="s">
        <v>15</v>
      </c>
      <c r="O154" s="130" t="s">
        <v>11</v>
      </c>
    </row>
    <row r="155" spans="1:15" s="218" customFormat="1" x14ac:dyDescent="0.25">
      <c r="A155" s="265">
        <v>3</v>
      </c>
      <c r="B155" s="265">
        <v>3</v>
      </c>
      <c r="C155" s="265" t="s">
        <v>1122</v>
      </c>
      <c r="D155" s="265">
        <v>6</v>
      </c>
      <c r="E155" s="265" t="s">
        <v>765</v>
      </c>
      <c r="F155" s="265">
        <v>1</v>
      </c>
      <c r="G155" s="265">
        <v>1</v>
      </c>
      <c r="H155" s="265">
        <v>0</v>
      </c>
      <c r="I155" s="266">
        <v>428415.388671875</v>
      </c>
      <c r="J155" s="265" t="s">
        <v>561</v>
      </c>
      <c r="K155" s="265" t="s">
        <v>562</v>
      </c>
      <c r="L155" s="265" t="s">
        <v>24</v>
      </c>
      <c r="M155" s="265" t="s">
        <v>735</v>
      </c>
      <c r="N155" s="265" t="s">
        <v>728</v>
      </c>
      <c r="O155" s="265" t="s">
        <v>11</v>
      </c>
    </row>
    <row r="156" spans="1:15" s="218" customFormat="1" x14ac:dyDescent="0.25">
      <c r="A156" s="265">
        <v>3</v>
      </c>
      <c r="B156" s="265">
        <v>3</v>
      </c>
      <c r="C156" s="265" t="s">
        <v>1122</v>
      </c>
      <c r="D156" s="265">
        <v>6</v>
      </c>
      <c r="E156" s="265" t="s">
        <v>765</v>
      </c>
      <c r="F156" s="265">
        <v>1</v>
      </c>
      <c r="G156" s="265">
        <v>1</v>
      </c>
      <c r="H156" s="265">
        <v>0</v>
      </c>
      <c r="I156" s="266">
        <v>279902.80615234299</v>
      </c>
      <c r="J156" s="265" t="s">
        <v>377</v>
      </c>
      <c r="K156" s="265" t="s">
        <v>378</v>
      </c>
      <c r="L156" s="265" t="s">
        <v>24</v>
      </c>
      <c r="M156" s="265" t="s">
        <v>735</v>
      </c>
      <c r="N156" s="265" t="s">
        <v>728</v>
      </c>
      <c r="O156" s="265" t="s">
        <v>11</v>
      </c>
    </row>
    <row r="157" spans="1:15" s="218" customFormat="1" x14ac:dyDescent="0.25">
      <c r="A157" s="265">
        <v>3</v>
      </c>
      <c r="B157" s="265">
        <v>3</v>
      </c>
      <c r="C157" s="265" t="s">
        <v>1122</v>
      </c>
      <c r="D157" s="265">
        <v>6</v>
      </c>
      <c r="E157" s="265" t="s">
        <v>765</v>
      </c>
      <c r="F157" s="265">
        <v>1</v>
      </c>
      <c r="G157" s="265">
        <v>1</v>
      </c>
      <c r="H157" s="265">
        <v>0</v>
      </c>
      <c r="I157" s="266">
        <v>318953.38037109299</v>
      </c>
      <c r="J157" s="265" t="s">
        <v>466</v>
      </c>
      <c r="K157" s="265" t="s">
        <v>467</v>
      </c>
      <c r="L157" s="265" t="s">
        <v>63</v>
      </c>
      <c r="M157" s="265" t="s">
        <v>64</v>
      </c>
      <c r="N157" s="265" t="s">
        <v>728</v>
      </c>
      <c r="O157" s="265" t="s">
        <v>11</v>
      </c>
    </row>
    <row r="158" spans="1:15" s="218" customFormat="1" x14ac:dyDescent="0.25">
      <c r="A158" s="265">
        <v>3</v>
      </c>
      <c r="B158" s="265">
        <v>3</v>
      </c>
      <c r="C158" s="265" t="s">
        <v>1122</v>
      </c>
      <c r="D158" s="265">
        <v>6</v>
      </c>
      <c r="E158" s="265" t="s">
        <v>765</v>
      </c>
      <c r="F158" s="265">
        <v>1</v>
      </c>
      <c r="G158" s="265">
        <v>1</v>
      </c>
      <c r="H158" s="265">
        <v>0</v>
      </c>
      <c r="I158" s="266">
        <v>75934.996582031206</v>
      </c>
      <c r="J158" s="265" t="s">
        <v>359</v>
      </c>
      <c r="K158" s="265" t="s">
        <v>360</v>
      </c>
      <c r="L158" s="265" t="s">
        <v>30</v>
      </c>
      <c r="M158" s="265" t="s">
        <v>732</v>
      </c>
      <c r="N158" s="265" t="s">
        <v>728</v>
      </c>
      <c r="O158" s="265" t="s">
        <v>11</v>
      </c>
    </row>
    <row r="159" spans="1:15" s="264" customFormat="1" x14ac:dyDescent="0.25">
      <c r="A159" s="262">
        <v>3</v>
      </c>
      <c r="B159" s="262">
        <v>3</v>
      </c>
      <c r="C159" s="262" t="s">
        <v>1122</v>
      </c>
      <c r="D159" s="262">
        <v>6</v>
      </c>
      <c r="E159" s="262" t="s">
        <v>765</v>
      </c>
      <c r="F159" s="262">
        <v>1</v>
      </c>
      <c r="G159" s="262">
        <v>1</v>
      </c>
      <c r="H159" s="262">
        <v>0</v>
      </c>
      <c r="I159" s="263">
        <v>30660.2060546875</v>
      </c>
      <c r="J159" s="262" t="s">
        <v>577</v>
      </c>
      <c r="K159" s="262" t="s">
        <v>578</v>
      </c>
      <c r="L159" s="262" t="s">
        <v>24</v>
      </c>
      <c r="M159" s="262" t="s">
        <v>735</v>
      </c>
      <c r="N159" s="262" t="s">
        <v>727</v>
      </c>
      <c r="O159" s="262" t="s">
        <v>11</v>
      </c>
    </row>
    <row r="160" spans="1:15" s="218" customFormat="1" x14ac:dyDescent="0.25">
      <c r="A160" s="265">
        <v>3</v>
      </c>
      <c r="B160" s="265">
        <v>3</v>
      </c>
      <c r="C160" s="265" t="s">
        <v>1122</v>
      </c>
      <c r="D160" s="265">
        <v>6</v>
      </c>
      <c r="E160" s="265" t="s">
        <v>765</v>
      </c>
      <c r="F160" s="265">
        <v>1</v>
      </c>
      <c r="G160" s="265">
        <v>1</v>
      </c>
      <c r="H160" s="265">
        <v>0</v>
      </c>
      <c r="I160" s="266">
        <v>115893.732910156</v>
      </c>
      <c r="J160" s="265" t="s">
        <v>432</v>
      </c>
      <c r="K160" s="265" t="s">
        <v>433</v>
      </c>
      <c r="L160" s="265" t="s">
        <v>30</v>
      </c>
      <c r="M160" s="265" t="s">
        <v>732</v>
      </c>
      <c r="N160" s="265" t="s">
        <v>728</v>
      </c>
      <c r="O160" s="265" t="s">
        <v>11</v>
      </c>
    </row>
    <row r="161" spans="1:15" s="218" customFormat="1" x14ac:dyDescent="0.25">
      <c r="A161" s="265">
        <v>3</v>
      </c>
      <c r="B161" s="265">
        <v>3</v>
      </c>
      <c r="C161" s="265" t="s">
        <v>1122</v>
      </c>
      <c r="D161" s="265">
        <v>6</v>
      </c>
      <c r="E161" s="265" t="s">
        <v>765</v>
      </c>
      <c r="F161" s="265">
        <v>1</v>
      </c>
      <c r="G161" s="265">
        <v>1</v>
      </c>
      <c r="H161" s="265">
        <v>0</v>
      </c>
      <c r="I161" s="266">
        <v>7.81982421875</v>
      </c>
      <c r="J161" s="265" t="s">
        <v>363</v>
      </c>
      <c r="K161" s="265" t="s">
        <v>364</v>
      </c>
      <c r="L161" s="265" t="s">
        <v>18</v>
      </c>
      <c r="M161" s="265" t="s">
        <v>19</v>
      </c>
      <c r="N161" s="265" t="s">
        <v>728</v>
      </c>
      <c r="O161" s="265" t="s">
        <v>11</v>
      </c>
    </row>
    <row r="162" spans="1:15" s="264" customFormat="1" x14ac:dyDescent="0.25">
      <c r="A162" s="262">
        <v>3</v>
      </c>
      <c r="B162" s="262">
        <v>3</v>
      </c>
      <c r="C162" s="262" t="s">
        <v>1122</v>
      </c>
      <c r="D162" s="262">
        <v>6</v>
      </c>
      <c r="E162" s="262" t="s">
        <v>765</v>
      </c>
      <c r="F162" s="262">
        <v>1</v>
      </c>
      <c r="G162" s="262">
        <v>1</v>
      </c>
      <c r="H162" s="262">
        <v>0</v>
      </c>
      <c r="I162" s="263">
        <v>114920.54052734299</v>
      </c>
      <c r="J162" s="262" t="s">
        <v>267</v>
      </c>
      <c r="K162" s="262" t="s">
        <v>268</v>
      </c>
      <c r="L162" s="262" t="s">
        <v>14</v>
      </c>
      <c r="M162" s="262" t="s">
        <v>740</v>
      </c>
      <c r="N162" s="262" t="s">
        <v>727</v>
      </c>
      <c r="O162" s="262" t="s">
        <v>11</v>
      </c>
    </row>
    <row r="163" spans="1:15" s="218" customFormat="1" x14ac:dyDescent="0.25">
      <c r="A163" s="265">
        <v>3</v>
      </c>
      <c r="B163" s="265">
        <v>3</v>
      </c>
      <c r="C163" s="265" t="s">
        <v>1122</v>
      </c>
      <c r="D163" s="265">
        <v>6</v>
      </c>
      <c r="E163" s="265" t="s">
        <v>765</v>
      </c>
      <c r="F163" s="265">
        <v>1</v>
      </c>
      <c r="G163" s="265">
        <v>1</v>
      </c>
      <c r="H163" s="265">
        <v>0</v>
      </c>
      <c r="I163" s="266">
        <v>85819.884277343706</v>
      </c>
      <c r="J163" s="265" t="s">
        <v>71</v>
      </c>
      <c r="K163" s="265" t="s">
        <v>72</v>
      </c>
      <c r="L163" s="265" t="s">
        <v>63</v>
      </c>
      <c r="M163" s="265" t="s">
        <v>64</v>
      </c>
      <c r="N163" s="265" t="s">
        <v>728</v>
      </c>
      <c r="O163" s="265" t="s">
        <v>11</v>
      </c>
    </row>
    <row r="164" spans="1:15" s="129" customFormat="1" x14ac:dyDescent="0.25">
      <c r="A164" s="130">
        <v>3</v>
      </c>
      <c r="B164" s="130">
        <v>3</v>
      </c>
      <c r="C164" s="130" t="s">
        <v>1122</v>
      </c>
      <c r="D164" s="130">
        <v>6</v>
      </c>
      <c r="E164" s="130" t="s">
        <v>765</v>
      </c>
      <c r="F164" s="130">
        <v>1</v>
      </c>
      <c r="G164" s="130">
        <v>1</v>
      </c>
      <c r="H164" s="130">
        <v>0</v>
      </c>
      <c r="I164" s="131">
        <v>370929.623046875</v>
      </c>
      <c r="J164" s="130" t="s">
        <v>289</v>
      </c>
      <c r="K164" s="130" t="s">
        <v>290</v>
      </c>
      <c r="L164" s="130" t="s">
        <v>63</v>
      </c>
      <c r="M164" s="130" t="s">
        <v>64</v>
      </c>
      <c r="N164" s="130" t="s">
        <v>15</v>
      </c>
      <c r="O164" s="130" t="s">
        <v>11</v>
      </c>
    </row>
    <row r="165" spans="1:15" s="264" customFormat="1" x14ac:dyDescent="0.25">
      <c r="A165" s="262">
        <v>3</v>
      </c>
      <c r="B165" s="262">
        <v>3</v>
      </c>
      <c r="C165" s="262" t="s">
        <v>1122</v>
      </c>
      <c r="D165" s="262">
        <v>6</v>
      </c>
      <c r="E165" s="262" t="s">
        <v>765</v>
      </c>
      <c r="F165" s="262">
        <v>1</v>
      </c>
      <c r="G165" s="262">
        <v>1</v>
      </c>
      <c r="H165" s="262">
        <v>0</v>
      </c>
      <c r="I165" s="263">
        <v>1363768.3784179599</v>
      </c>
      <c r="J165" s="262" t="s">
        <v>71</v>
      </c>
      <c r="K165" s="262" t="s">
        <v>72</v>
      </c>
      <c r="L165" s="262" t="s">
        <v>63</v>
      </c>
      <c r="M165" s="262" t="s">
        <v>64</v>
      </c>
      <c r="N165" s="262" t="s">
        <v>727</v>
      </c>
      <c r="O165" s="262" t="s">
        <v>11</v>
      </c>
    </row>
    <row r="166" spans="1:15" s="264" customFormat="1" x14ac:dyDescent="0.25">
      <c r="A166" s="262">
        <v>3</v>
      </c>
      <c r="B166" s="262">
        <v>3</v>
      </c>
      <c r="C166" s="262" t="s">
        <v>1122</v>
      </c>
      <c r="D166" s="262">
        <v>6</v>
      </c>
      <c r="E166" s="262" t="s">
        <v>765</v>
      </c>
      <c r="F166" s="262">
        <v>1</v>
      </c>
      <c r="G166" s="262">
        <v>1</v>
      </c>
      <c r="H166" s="262">
        <v>0</v>
      </c>
      <c r="I166" s="263">
        <v>11137.054199218701</v>
      </c>
      <c r="J166" s="262" t="s">
        <v>442</v>
      </c>
      <c r="K166" s="262" t="s">
        <v>443</v>
      </c>
      <c r="L166" s="262" t="s">
        <v>14</v>
      </c>
      <c r="M166" s="262" t="s">
        <v>740</v>
      </c>
      <c r="N166" s="262" t="s">
        <v>727</v>
      </c>
      <c r="O166" s="262" t="s">
        <v>11</v>
      </c>
    </row>
    <row r="167" spans="1:15" s="129" customFormat="1" x14ac:dyDescent="0.25">
      <c r="A167" s="130">
        <v>3</v>
      </c>
      <c r="B167" s="130">
        <v>3</v>
      </c>
      <c r="C167" s="130" t="s">
        <v>1122</v>
      </c>
      <c r="D167" s="130">
        <v>6</v>
      </c>
      <c r="E167" s="130" t="s">
        <v>765</v>
      </c>
      <c r="F167" s="130">
        <v>1</v>
      </c>
      <c r="G167" s="130">
        <v>1</v>
      </c>
      <c r="H167" s="130">
        <v>0</v>
      </c>
      <c r="I167" s="131">
        <v>946478.72949218703</v>
      </c>
      <c r="J167" s="130" t="s">
        <v>589</v>
      </c>
      <c r="K167" s="130" t="s">
        <v>590</v>
      </c>
      <c r="L167" s="130" t="s">
        <v>24</v>
      </c>
      <c r="M167" s="130" t="s">
        <v>735</v>
      </c>
      <c r="N167" s="130" t="s">
        <v>15</v>
      </c>
      <c r="O167" s="130" t="s">
        <v>11</v>
      </c>
    </row>
    <row r="168" spans="1:15" s="264" customFormat="1" x14ac:dyDescent="0.25">
      <c r="A168" s="262">
        <v>3</v>
      </c>
      <c r="B168" s="262">
        <v>3</v>
      </c>
      <c r="C168" s="262" t="s">
        <v>1122</v>
      </c>
      <c r="D168" s="262">
        <v>6</v>
      </c>
      <c r="E168" s="262" t="s">
        <v>765</v>
      </c>
      <c r="F168" s="262">
        <v>1</v>
      </c>
      <c r="G168" s="262">
        <v>1</v>
      </c>
      <c r="H168" s="262">
        <v>0</v>
      </c>
      <c r="I168" s="263">
        <v>164457.45605468701</v>
      </c>
      <c r="J168" s="262" t="s">
        <v>539</v>
      </c>
      <c r="K168" s="262" t="s">
        <v>540</v>
      </c>
      <c r="L168" s="262" t="s">
        <v>24</v>
      </c>
      <c r="M168" s="262" t="s">
        <v>735</v>
      </c>
      <c r="N168" s="262" t="s">
        <v>727</v>
      </c>
      <c r="O168" s="262" t="s">
        <v>11</v>
      </c>
    </row>
    <row r="169" spans="1:15" s="264" customFormat="1" x14ac:dyDescent="0.25">
      <c r="A169" s="262">
        <v>3</v>
      </c>
      <c r="B169" s="262">
        <v>3</v>
      </c>
      <c r="C169" s="262" t="s">
        <v>1122</v>
      </c>
      <c r="D169" s="262">
        <v>6</v>
      </c>
      <c r="E169" s="262" t="s">
        <v>765</v>
      </c>
      <c r="F169" s="262">
        <v>1</v>
      </c>
      <c r="G169" s="262">
        <v>1</v>
      </c>
      <c r="H169" s="262">
        <v>0</v>
      </c>
      <c r="I169" s="263">
        <v>21334.3349609375</v>
      </c>
      <c r="J169" s="262" t="s">
        <v>377</v>
      </c>
      <c r="K169" s="262" t="s">
        <v>378</v>
      </c>
      <c r="L169" s="262" t="s">
        <v>24</v>
      </c>
      <c r="M169" s="262" t="s">
        <v>735</v>
      </c>
      <c r="N169" s="262" t="s">
        <v>727</v>
      </c>
      <c r="O169" s="262" t="s">
        <v>11</v>
      </c>
    </row>
    <row r="170" spans="1:15" s="218" customFormat="1" x14ac:dyDescent="0.25">
      <c r="A170" s="265">
        <v>3</v>
      </c>
      <c r="B170" s="265">
        <v>3</v>
      </c>
      <c r="C170" s="265" t="s">
        <v>1122</v>
      </c>
      <c r="D170" s="265">
        <v>6</v>
      </c>
      <c r="E170" s="265" t="s">
        <v>765</v>
      </c>
      <c r="F170" s="265">
        <v>1</v>
      </c>
      <c r="G170" s="265">
        <v>1</v>
      </c>
      <c r="H170" s="265">
        <v>0</v>
      </c>
      <c r="I170" s="266">
        <v>69135.072265625</v>
      </c>
      <c r="J170" s="265" t="s">
        <v>593</v>
      </c>
      <c r="K170" s="265" t="s">
        <v>594</v>
      </c>
      <c r="L170" s="265" t="s">
        <v>24</v>
      </c>
      <c r="M170" s="265" t="s">
        <v>735</v>
      </c>
      <c r="N170" s="265" t="s">
        <v>728</v>
      </c>
      <c r="O170" s="265" t="s">
        <v>11</v>
      </c>
    </row>
    <row r="171" spans="1:15" s="129" customFormat="1" x14ac:dyDescent="0.25">
      <c r="A171" s="130">
        <v>3</v>
      </c>
      <c r="B171" s="130">
        <v>3</v>
      </c>
      <c r="C171" s="130" t="s">
        <v>1122</v>
      </c>
      <c r="D171" s="130">
        <v>6</v>
      </c>
      <c r="E171" s="130" t="s">
        <v>765</v>
      </c>
      <c r="F171" s="130">
        <v>1</v>
      </c>
      <c r="G171" s="130">
        <v>1</v>
      </c>
      <c r="H171" s="130">
        <v>0</v>
      </c>
      <c r="I171" s="131">
        <v>2159027.1127929599</v>
      </c>
      <c r="J171" s="130" t="s">
        <v>561</v>
      </c>
      <c r="K171" s="130" t="s">
        <v>562</v>
      </c>
      <c r="L171" s="130" t="s">
        <v>24</v>
      </c>
      <c r="M171" s="130" t="s">
        <v>735</v>
      </c>
      <c r="N171" s="130" t="s">
        <v>15</v>
      </c>
      <c r="O171" s="130" t="s">
        <v>11</v>
      </c>
    </row>
    <row r="172" spans="1:15" s="218" customFormat="1" x14ac:dyDescent="0.25">
      <c r="A172" s="265">
        <v>3</v>
      </c>
      <c r="B172" s="265">
        <v>3</v>
      </c>
      <c r="C172" s="265" t="s">
        <v>1122</v>
      </c>
      <c r="D172" s="265">
        <v>6</v>
      </c>
      <c r="E172" s="265" t="s">
        <v>765</v>
      </c>
      <c r="F172" s="265">
        <v>1</v>
      </c>
      <c r="G172" s="265">
        <v>1</v>
      </c>
      <c r="H172" s="265">
        <v>0</v>
      </c>
      <c r="I172" s="266">
        <v>107782.59130859299</v>
      </c>
      <c r="J172" s="265" t="s">
        <v>371</v>
      </c>
      <c r="K172" s="265" t="s">
        <v>372</v>
      </c>
      <c r="L172" s="265" t="s">
        <v>30</v>
      </c>
      <c r="M172" s="265" t="s">
        <v>732</v>
      </c>
      <c r="N172" s="265" t="s">
        <v>728</v>
      </c>
      <c r="O172" s="265" t="s">
        <v>11</v>
      </c>
    </row>
    <row r="173" spans="1:15" s="218" customFormat="1" x14ac:dyDescent="0.25">
      <c r="A173" s="265">
        <v>3</v>
      </c>
      <c r="B173" s="265">
        <v>3</v>
      </c>
      <c r="C173" s="265" t="s">
        <v>1122</v>
      </c>
      <c r="D173" s="265">
        <v>6</v>
      </c>
      <c r="E173" s="265" t="s">
        <v>765</v>
      </c>
      <c r="F173" s="265">
        <v>1</v>
      </c>
      <c r="G173" s="265">
        <v>1</v>
      </c>
      <c r="H173" s="265">
        <v>0</v>
      </c>
      <c r="I173" s="266">
        <v>2065721.4433593701</v>
      </c>
      <c r="J173" s="265" t="s">
        <v>321</v>
      </c>
      <c r="K173" s="265" t="s">
        <v>322</v>
      </c>
      <c r="L173" s="265" t="s">
        <v>63</v>
      </c>
      <c r="M173" s="265" t="s">
        <v>64</v>
      </c>
      <c r="N173" s="265" t="s">
        <v>728</v>
      </c>
      <c r="O173" s="265" t="s">
        <v>11</v>
      </c>
    </row>
    <row r="174" spans="1:15" s="264" customFormat="1" x14ac:dyDescent="0.25">
      <c r="A174" s="262">
        <v>3</v>
      </c>
      <c r="B174" s="262">
        <v>3</v>
      </c>
      <c r="C174" s="262" t="s">
        <v>1122</v>
      </c>
      <c r="D174" s="262">
        <v>6</v>
      </c>
      <c r="E174" s="262" t="s">
        <v>765</v>
      </c>
      <c r="F174" s="262">
        <v>1</v>
      </c>
      <c r="G174" s="262">
        <v>1</v>
      </c>
      <c r="H174" s="262">
        <v>0</v>
      </c>
      <c r="I174" s="263">
        <v>68970.861328125</v>
      </c>
      <c r="J174" s="262" t="s">
        <v>211</v>
      </c>
      <c r="K174" s="262" t="s">
        <v>212</v>
      </c>
      <c r="L174" s="262" t="s">
        <v>30</v>
      </c>
      <c r="M174" s="262" t="s">
        <v>732</v>
      </c>
      <c r="N174" s="262" t="s">
        <v>727</v>
      </c>
      <c r="O174" s="262" t="s">
        <v>11</v>
      </c>
    </row>
    <row r="175" spans="1:15" s="218" customFormat="1" x14ac:dyDescent="0.25">
      <c r="A175" s="265">
        <v>3</v>
      </c>
      <c r="B175" s="265">
        <v>3</v>
      </c>
      <c r="C175" s="265" t="s">
        <v>1122</v>
      </c>
      <c r="D175" s="265">
        <v>6</v>
      </c>
      <c r="E175" s="265" t="s">
        <v>765</v>
      </c>
      <c r="F175" s="265">
        <v>1</v>
      </c>
      <c r="G175" s="265">
        <v>1</v>
      </c>
      <c r="H175" s="265">
        <v>0</v>
      </c>
      <c r="I175" s="266">
        <v>54427.4248046875</v>
      </c>
      <c r="J175" s="265" t="s">
        <v>611</v>
      </c>
      <c r="K175" s="265" t="s">
        <v>612</v>
      </c>
      <c r="L175" s="265" t="s">
        <v>24</v>
      </c>
      <c r="M175" s="265" t="s">
        <v>735</v>
      </c>
      <c r="N175" s="265" t="s">
        <v>728</v>
      </c>
      <c r="O175" s="265" t="s">
        <v>11</v>
      </c>
    </row>
    <row r="176" spans="1:15" s="129" customFormat="1" x14ac:dyDescent="0.25">
      <c r="A176" s="130">
        <v>3</v>
      </c>
      <c r="B176" s="130">
        <v>3</v>
      </c>
      <c r="C176" s="130" t="s">
        <v>1122</v>
      </c>
      <c r="D176" s="130">
        <v>6</v>
      </c>
      <c r="E176" s="130" t="s">
        <v>765</v>
      </c>
      <c r="F176" s="130">
        <v>1</v>
      </c>
      <c r="G176" s="130">
        <v>1</v>
      </c>
      <c r="H176" s="130">
        <v>0</v>
      </c>
      <c r="I176" s="131">
        <v>866687.94238281203</v>
      </c>
      <c r="J176" s="130" t="s">
        <v>339</v>
      </c>
      <c r="K176" s="130" t="s">
        <v>340</v>
      </c>
      <c r="L176" s="130" t="s">
        <v>24</v>
      </c>
      <c r="M176" s="130" t="s">
        <v>735</v>
      </c>
      <c r="N176" s="130" t="s">
        <v>15</v>
      </c>
      <c r="O176" s="130" t="s">
        <v>11</v>
      </c>
    </row>
    <row r="177" spans="1:15" s="218" customFormat="1" x14ac:dyDescent="0.25">
      <c r="A177" s="265">
        <v>3</v>
      </c>
      <c r="B177" s="265">
        <v>3</v>
      </c>
      <c r="C177" s="265" t="s">
        <v>1122</v>
      </c>
      <c r="D177" s="265">
        <v>6</v>
      </c>
      <c r="E177" s="265" t="s">
        <v>765</v>
      </c>
      <c r="F177" s="265">
        <v>1</v>
      </c>
      <c r="G177" s="265">
        <v>1</v>
      </c>
      <c r="H177" s="265">
        <v>0</v>
      </c>
      <c r="I177" s="266">
        <v>241081.53076171799</v>
      </c>
      <c r="J177" s="265" t="s">
        <v>539</v>
      </c>
      <c r="K177" s="265" t="s">
        <v>540</v>
      </c>
      <c r="L177" s="265" t="s">
        <v>24</v>
      </c>
      <c r="M177" s="265" t="s">
        <v>735</v>
      </c>
      <c r="N177" s="265" t="s">
        <v>728</v>
      </c>
      <c r="O177" s="265" t="s">
        <v>11</v>
      </c>
    </row>
    <row r="178" spans="1:15" s="218" customFormat="1" x14ac:dyDescent="0.25">
      <c r="A178" s="265">
        <v>3</v>
      </c>
      <c r="B178" s="265">
        <v>3</v>
      </c>
      <c r="C178" s="265" t="s">
        <v>1122</v>
      </c>
      <c r="D178" s="265">
        <v>6</v>
      </c>
      <c r="E178" s="265" t="s">
        <v>765</v>
      </c>
      <c r="F178" s="265">
        <v>1</v>
      </c>
      <c r="G178" s="265">
        <v>1</v>
      </c>
      <c r="H178" s="265">
        <v>0</v>
      </c>
      <c r="I178" s="266">
        <v>279269.47705078102</v>
      </c>
      <c r="J178" s="265" t="s">
        <v>22</v>
      </c>
      <c r="K178" s="265" t="s">
        <v>23</v>
      </c>
      <c r="L178" s="265" t="s">
        <v>24</v>
      </c>
      <c r="M178" s="265" t="s">
        <v>735</v>
      </c>
      <c r="N178" s="265" t="s">
        <v>728</v>
      </c>
      <c r="O178" s="265" t="s">
        <v>11</v>
      </c>
    </row>
    <row r="179" spans="1:15" s="129" customFormat="1" x14ac:dyDescent="0.25">
      <c r="A179" s="130">
        <v>3</v>
      </c>
      <c r="B179" s="130">
        <v>3</v>
      </c>
      <c r="C179" s="130" t="s">
        <v>1122</v>
      </c>
      <c r="D179" s="130">
        <v>6</v>
      </c>
      <c r="E179" s="130" t="s">
        <v>765</v>
      </c>
      <c r="F179" s="130">
        <v>1</v>
      </c>
      <c r="G179" s="130">
        <v>1</v>
      </c>
      <c r="H179" s="130">
        <v>0</v>
      </c>
      <c r="I179" s="131">
        <v>431076.89892578102</v>
      </c>
      <c r="J179" s="130" t="s">
        <v>373</v>
      </c>
      <c r="K179" s="130" t="s">
        <v>374</v>
      </c>
      <c r="L179" s="130" t="s">
        <v>14</v>
      </c>
      <c r="M179" s="130" t="s">
        <v>740</v>
      </c>
      <c r="N179" s="130" t="s">
        <v>15</v>
      </c>
      <c r="O179" s="130" t="s">
        <v>11</v>
      </c>
    </row>
    <row r="180" spans="1:15" s="129" customFormat="1" x14ac:dyDescent="0.25">
      <c r="A180" s="130">
        <v>3</v>
      </c>
      <c r="B180" s="130">
        <v>3</v>
      </c>
      <c r="C180" s="130" t="s">
        <v>1122</v>
      </c>
      <c r="D180" s="130">
        <v>6</v>
      </c>
      <c r="E180" s="130" t="s">
        <v>765</v>
      </c>
      <c r="F180" s="130">
        <v>1</v>
      </c>
      <c r="G180" s="130">
        <v>1</v>
      </c>
      <c r="H180" s="130">
        <v>0</v>
      </c>
      <c r="I180" s="131">
        <v>149.98681640625</v>
      </c>
      <c r="J180" s="130" t="s">
        <v>179</v>
      </c>
      <c r="K180" s="130" t="s">
        <v>180</v>
      </c>
      <c r="L180" s="130" t="s">
        <v>30</v>
      </c>
      <c r="M180" s="130" t="s">
        <v>732</v>
      </c>
      <c r="N180" s="130" t="s">
        <v>15</v>
      </c>
      <c r="O180" s="130" t="s">
        <v>11</v>
      </c>
    </row>
    <row r="181" spans="1:15" s="264" customFormat="1" x14ac:dyDescent="0.25">
      <c r="A181" s="262">
        <v>3</v>
      </c>
      <c r="B181" s="262">
        <v>3</v>
      </c>
      <c r="C181" s="262" t="s">
        <v>1122</v>
      </c>
      <c r="D181" s="262">
        <v>6</v>
      </c>
      <c r="E181" s="262" t="s">
        <v>765</v>
      </c>
      <c r="F181" s="262">
        <v>1</v>
      </c>
      <c r="G181" s="262">
        <v>1</v>
      </c>
      <c r="H181" s="262">
        <v>0</v>
      </c>
      <c r="I181" s="263">
        <v>58942.8212890625</v>
      </c>
      <c r="J181" s="262" t="s">
        <v>399</v>
      </c>
      <c r="K181" s="262" t="s">
        <v>400</v>
      </c>
      <c r="L181" s="262" t="s">
        <v>63</v>
      </c>
      <c r="M181" s="262" t="s">
        <v>64</v>
      </c>
      <c r="N181" s="262" t="s">
        <v>727</v>
      </c>
      <c r="O181" s="262" t="s">
        <v>11</v>
      </c>
    </row>
    <row r="182" spans="1:15" s="218" customFormat="1" x14ac:dyDescent="0.25">
      <c r="A182" s="265">
        <v>3</v>
      </c>
      <c r="B182" s="265">
        <v>3</v>
      </c>
      <c r="C182" s="265" t="s">
        <v>1122</v>
      </c>
      <c r="D182" s="265">
        <v>6</v>
      </c>
      <c r="E182" s="265" t="s">
        <v>765</v>
      </c>
      <c r="F182" s="265">
        <v>1</v>
      </c>
      <c r="G182" s="265">
        <v>1</v>
      </c>
      <c r="H182" s="265">
        <v>0</v>
      </c>
      <c r="I182" s="266">
        <v>36664.739746093699</v>
      </c>
      <c r="J182" s="265" t="s">
        <v>617</v>
      </c>
      <c r="K182" s="265" t="s">
        <v>618</v>
      </c>
      <c r="L182" s="265" t="s">
        <v>30</v>
      </c>
      <c r="M182" s="265" t="s">
        <v>732</v>
      </c>
      <c r="N182" s="265" t="s">
        <v>728</v>
      </c>
      <c r="O182" s="265" t="s">
        <v>11</v>
      </c>
    </row>
    <row r="183" spans="1:15" s="264" customFormat="1" x14ac:dyDescent="0.25">
      <c r="A183" s="262">
        <v>3</v>
      </c>
      <c r="B183" s="262">
        <v>3</v>
      </c>
      <c r="C183" s="262" t="s">
        <v>1122</v>
      </c>
      <c r="D183" s="262">
        <v>6</v>
      </c>
      <c r="E183" s="262" t="s">
        <v>765</v>
      </c>
      <c r="F183" s="262">
        <v>1</v>
      </c>
      <c r="G183" s="262">
        <v>1</v>
      </c>
      <c r="H183" s="262">
        <v>0</v>
      </c>
      <c r="I183" s="263">
        <v>84748.047363281206</v>
      </c>
      <c r="J183" s="262" t="s">
        <v>573</v>
      </c>
      <c r="K183" s="262" t="s">
        <v>574</v>
      </c>
      <c r="L183" s="262" t="s">
        <v>63</v>
      </c>
      <c r="M183" s="262" t="s">
        <v>64</v>
      </c>
      <c r="N183" s="262" t="s">
        <v>727</v>
      </c>
      <c r="O183" s="262" t="s">
        <v>11</v>
      </c>
    </row>
    <row r="184" spans="1:15" s="264" customFormat="1" x14ac:dyDescent="0.25">
      <c r="A184" s="262">
        <v>3</v>
      </c>
      <c r="B184" s="262">
        <v>3</v>
      </c>
      <c r="C184" s="262" t="s">
        <v>1122</v>
      </c>
      <c r="D184" s="262">
        <v>6</v>
      </c>
      <c r="E184" s="262" t="s">
        <v>765</v>
      </c>
      <c r="F184" s="262">
        <v>1</v>
      </c>
      <c r="G184" s="262">
        <v>1</v>
      </c>
      <c r="H184" s="262">
        <v>0</v>
      </c>
      <c r="I184" s="263">
        <v>17144.353515625</v>
      </c>
      <c r="J184" s="262" t="s">
        <v>446</v>
      </c>
      <c r="K184" s="262" t="s">
        <v>447</v>
      </c>
      <c r="L184" s="262" t="s">
        <v>14</v>
      </c>
      <c r="M184" s="262" t="s">
        <v>740</v>
      </c>
      <c r="N184" s="262" t="s">
        <v>727</v>
      </c>
      <c r="O184" s="262" t="s">
        <v>11</v>
      </c>
    </row>
    <row r="185" spans="1:15" s="264" customFormat="1" x14ac:dyDescent="0.25">
      <c r="A185" s="262">
        <v>3</v>
      </c>
      <c r="B185" s="262">
        <v>3</v>
      </c>
      <c r="C185" s="262" t="s">
        <v>1122</v>
      </c>
      <c r="D185" s="262">
        <v>6</v>
      </c>
      <c r="E185" s="262" t="s">
        <v>765</v>
      </c>
      <c r="F185" s="262">
        <v>1</v>
      </c>
      <c r="G185" s="262">
        <v>1</v>
      </c>
      <c r="H185" s="262">
        <v>0</v>
      </c>
      <c r="I185" s="263">
        <v>34967.91796875</v>
      </c>
      <c r="J185" s="262" t="s">
        <v>315</v>
      </c>
      <c r="K185" s="262" t="s">
        <v>316</v>
      </c>
      <c r="L185" s="262" t="s">
        <v>63</v>
      </c>
      <c r="M185" s="262" t="s">
        <v>64</v>
      </c>
      <c r="N185" s="262" t="s">
        <v>727</v>
      </c>
      <c r="O185" s="262" t="s">
        <v>11</v>
      </c>
    </row>
    <row r="186" spans="1:15" s="218" customFormat="1" x14ac:dyDescent="0.25">
      <c r="A186" s="265">
        <v>3</v>
      </c>
      <c r="B186" s="265">
        <v>3</v>
      </c>
      <c r="C186" s="265" t="s">
        <v>1122</v>
      </c>
      <c r="D186" s="265">
        <v>6</v>
      </c>
      <c r="E186" s="265" t="s">
        <v>765</v>
      </c>
      <c r="F186" s="265">
        <v>1</v>
      </c>
      <c r="G186" s="265">
        <v>1</v>
      </c>
      <c r="H186" s="265">
        <v>0</v>
      </c>
      <c r="I186" s="266">
        <v>61439.063964843699</v>
      </c>
      <c r="J186" s="265" t="s">
        <v>577</v>
      </c>
      <c r="K186" s="265" t="s">
        <v>578</v>
      </c>
      <c r="L186" s="265" t="s">
        <v>24</v>
      </c>
      <c r="M186" s="265" t="s">
        <v>735</v>
      </c>
      <c r="N186" s="265" t="s">
        <v>728</v>
      </c>
      <c r="O186" s="265" t="s">
        <v>11</v>
      </c>
    </row>
    <row r="187" spans="1:15" s="129" customFormat="1" x14ac:dyDescent="0.25">
      <c r="A187" s="130">
        <v>3</v>
      </c>
      <c r="B187" s="130">
        <v>3</v>
      </c>
      <c r="C187" s="130" t="s">
        <v>1122</v>
      </c>
      <c r="D187" s="130">
        <v>6</v>
      </c>
      <c r="E187" s="130" t="s">
        <v>765</v>
      </c>
      <c r="F187" s="130">
        <v>1</v>
      </c>
      <c r="G187" s="130">
        <v>1</v>
      </c>
      <c r="H187" s="130">
        <v>0</v>
      </c>
      <c r="I187" s="131">
        <v>135870.83105468701</v>
      </c>
      <c r="J187" s="130" t="s">
        <v>611</v>
      </c>
      <c r="K187" s="130" t="s">
        <v>612</v>
      </c>
      <c r="L187" s="130" t="s">
        <v>24</v>
      </c>
      <c r="M187" s="130" t="s">
        <v>735</v>
      </c>
      <c r="N187" s="130" t="s">
        <v>15</v>
      </c>
      <c r="O187" s="130" t="s">
        <v>11</v>
      </c>
    </row>
    <row r="188" spans="1:15" s="28" customFormat="1" x14ac:dyDescent="0.25">
      <c r="A188" s="86">
        <v>3</v>
      </c>
      <c r="B188" s="86">
        <v>3</v>
      </c>
      <c r="C188" s="86" t="s">
        <v>1122</v>
      </c>
      <c r="D188" s="86">
        <v>6</v>
      </c>
      <c r="E188" s="86" t="s">
        <v>765</v>
      </c>
      <c r="F188" s="86">
        <v>1</v>
      </c>
      <c r="G188" s="86">
        <v>1</v>
      </c>
      <c r="H188" s="86">
        <v>0</v>
      </c>
      <c r="I188" s="87">
        <v>249087.47509765599</v>
      </c>
      <c r="J188" s="86" t="s">
        <v>617</v>
      </c>
      <c r="K188" s="86" t="s">
        <v>618</v>
      </c>
      <c r="L188" s="86" t="s">
        <v>30</v>
      </c>
      <c r="M188" s="86" t="s">
        <v>732</v>
      </c>
      <c r="N188" s="86" t="s">
        <v>726</v>
      </c>
      <c r="O188" s="86" t="s">
        <v>35</v>
      </c>
    </row>
    <row r="189" spans="1:15" s="264" customFormat="1" x14ac:dyDescent="0.25">
      <c r="A189" s="262">
        <v>3</v>
      </c>
      <c r="B189" s="262">
        <v>3</v>
      </c>
      <c r="C189" s="262" t="s">
        <v>1122</v>
      </c>
      <c r="D189" s="262">
        <v>6</v>
      </c>
      <c r="E189" s="262" t="s">
        <v>765</v>
      </c>
      <c r="F189" s="262">
        <v>1</v>
      </c>
      <c r="G189" s="262">
        <v>1</v>
      </c>
      <c r="H189" s="262">
        <v>0</v>
      </c>
      <c r="I189" s="263">
        <v>2174.84423828125</v>
      </c>
      <c r="J189" s="262" t="s">
        <v>617</v>
      </c>
      <c r="K189" s="262" t="s">
        <v>618</v>
      </c>
      <c r="L189" s="262" t="s">
        <v>30</v>
      </c>
      <c r="M189" s="262" t="s">
        <v>732</v>
      </c>
      <c r="N189" s="262" t="s">
        <v>727</v>
      </c>
      <c r="O189" s="262" t="s">
        <v>11</v>
      </c>
    </row>
    <row r="190" spans="1:15" s="264" customFormat="1" x14ac:dyDescent="0.25">
      <c r="A190" s="262">
        <v>3</v>
      </c>
      <c r="B190" s="262">
        <v>3</v>
      </c>
      <c r="C190" s="262" t="s">
        <v>1122</v>
      </c>
      <c r="D190" s="262">
        <v>6</v>
      </c>
      <c r="E190" s="262" t="s">
        <v>765</v>
      </c>
      <c r="F190" s="262">
        <v>1</v>
      </c>
      <c r="G190" s="262">
        <v>1</v>
      </c>
      <c r="H190" s="262">
        <v>0</v>
      </c>
      <c r="I190" s="263">
        <v>72971.267089843706</v>
      </c>
      <c r="J190" s="262" t="s">
        <v>480</v>
      </c>
      <c r="K190" s="262" t="s">
        <v>481</v>
      </c>
      <c r="L190" s="262" t="s">
        <v>63</v>
      </c>
      <c r="M190" s="262" t="s">
        <v>64</v>
      </c>
      <c r="N190" s="262" t="s">
        <v>727</v>
      </c>
      <c r="O190" s="262" t="s">
        <v>11</v>
      </c>
    </row>
    <row r="191" spans="1:15" s="28" customFormat="1" x14ac:dyDescent="0.25">
      <c r="A191" s="86">
        <v>3</v>
      </c>
      <c r="B191" s="86">
        <v>3</v>
      </c>
      <c r="C191" s="86" t="s">
        <v>1122</v>
      </c>
      <c r="D191" s="86">
        <v>6</v>
      </c>
      <c r="E191" s="86" t="s">
        <v>765</v>
      </c>
      <c r="F191" s="86">
        <v>1</v>
      </c>
      <c r="G191" s="86">
        <v>1</v>
      </c>
      <c r="H191" s="86">
        <v>0</v>
      </c>
      <c r="I191" s="87">
        <v>385260.57373046799</v>
      </c>
      <c r="J191" s="86" t="s">
        <v>635</v>
      </c>
      <c r="K191" s="86" t="s">
        <v>636</v>
      </c>
      <c r="L191" s="86" t="s">
        <v>30</v>
      </c>
      <c r="M191" s="86" t="s">
        <v>732</v>
      </c>
      <c r="N191" s="86" t="s">
        <v>726</v>
      </c>
      <c r="O191" s="86" t="s">
        <v>35</v>
      </c>
    </row>
    <row r="192" spans="1:15" s="129" customFormat="1" x14ac:dyDescent="0.25">
      <c r="A192" s="130">
        <v>3</v>
      </c>
      <c r="B192" s="130">
        <v>3</v>
      </c>
      <c r="C192" s="130" t="s">
        <v>1122</v>
      </c>
      <c r="D192" s="130">
        <v>6</v>
      </c>
      <c r="E192" s="130" t="s">
        <v>765</v>
      </c>
      <c r="F192" s="130">
        <v>1</v>
      </c>
      <c r="G192" s="130">
        <v>1</v>
      </c>
      <c r="H192" s="130">
        <v>0</v>
      </c>
      <c r="I192" s="131">
        <v>755048.14501953102</v>
      </c>
      <c r="J192" s="130" t="s">
        <v>641</v>
      </c>
      <c r="K192" s="130" t="s">
        <v>642</v>
      </c>
      <c r="L192" s="130" t="s">
        <v>63</v>
      </c>
      <c r="M192" s="130" t="s">
        <v>64</v>
      </c>
      <c r="N192" s="130" t="s">
        <v>15</v>
      </c>
      <c r="O192" s="130" t="s">
        <v>11</v>
      </c>
    </row>
    <row r="193" spans="1:15" s="218" customFormat="1" x14ac:dyDescent="0.25">
      <c r="A193" s="265">
        <v>3</v>
      </c>
      <c r="B193" s="265">
        <v>3</v>
      </c>
      <c r="C193" s="265" t="s">
        <v>1122</v>
      </c>
      <c r="D193" s="265">
        <v>6</v>
      </c>
      <c r="E193" s="265" t="s">
        <v>765</v>
      </c>
      <c r="F193" s="265">
        <v>1</v>
      </c>
      <c r="G193" s="265">
        <v>1</v>
      </c>
      <c r="H193" s="265">
        <v>0</v>
      </c>
      <c r="I193" s="266">
        <v>40007.638671875</v>
      </c>
      <c r="J193" s="265" t="s">
        <v>643</v>
      </c>
      <c r="K193" s="265" t="s">
        <v>644</v>
      </c>
      <c r="L193" s="265" t="s">
        <v>63</v>
      </c>
      <c r="M193" s="265" t="s">
        <v>64</v>
      </c>
      <c r="N193" s="265" t="s">
        <v>728</v>
      </c>
      <c r="O193" s="265" t="s">
        <v>11</v>
      </c>
    </row>
    <row r="194" spans="1:15" s="264" customFormat="1" x14ac:dyDescent="0.25">
      <c r="A194" s="262">
        <v>3</v>
      </c>
      <c r="B194" s="262">
        <v>3</v>
      </c>
      <c r="C194" s="262" t="s">
        <v>1122</v>
      </c>
      <c r="D194" s="262">
        <v>6</v>
      </c>
      <c r="E194" s="262" t="s">
        <v>765</v>
      </c>
      <c r="F194" s="262">
        <v>1</v>
      </c>
      <c r="G194" s="262">
        <v>1</v>
      </c>
      <c r="H194" s="262">
        <v>0</v>
      </c>
      <c r="I194" s="263">
        <v>105882.84716796799</v>
      </c>
      <c r="J194" s="262" t="s">
        <v>645</v>
      </c>
      <c r="K194" s="262" t="s">
        <v>646</v>
      </c>
      <c r="L194" s="262" t="s">
        <v>63</v>
      </c>
      <c r="M194" s="262" t="s">
        <v>64</v>
      </c>
      <c r="N194" s="262" t="s">
        <v>727</v>
      </c>
      <c r="O194" s="262" t="s">
        <v>11</v>
      </c>
    </row>
    <row r="195" spans="1:15" s="264" customFormat="1" x14ac:dyDescent="0.25">
      <c r="A195" s="262">
        <v>3</v>
      </c>
      <c r="B195" s="262">
        <v>3</v>
      </c>
      <c r="C195" s="262" t="s">
        <v>1122</v>
      </c>
      <c r="D195" s="262">
        <v>6</v>
      </c>
      <c r="E195" s="262" t="s">
        <v>765</v>
      </c>
      <c r="F195" s="262">
        <v>1</v>
      </c>
      <c r="G195" s="262">
        <v>1</v>
      </c>
      <c r="H195" s="262">
        <v>0</v>
      </c>
      <c r="I195" s="263">
        <v>82668.01953125</v>
      </c>
      <c r="J195" s="262" t="s">
        <v>371</v>
      </c>
      <c r="K195" s="262" t="s">
        <v>372</v>
      </c>
      <c r="L195" s="262" t="s">
        <v>30</v>
      </c>
      <c r="M195" s="262" t="s">
        <v>732</v>
      </c>
      <c r="N195" s="262" t="s">
        <v>727</v>
      </c>
      <c r="O195" s="262" t="s">
        <v>11</v>
      </c>
    </row>
    <row r="196" spans="1:15" s="218" customFormat="1" x14ac:dyDescent="0.25">
      <c r="A196" s="265">
        <v>3</v>
      </c>
      <c r="B196" s="265">
        <v>3</v>
      </c>
      <c r="C196" s="265" t="s">
        <v>1122</v>
      </c>
      <c r="D196" s="265">
        <v>6</v>
      </c>
      <c r="E196" s="265" t="s">
        <v>765</v>
      </c>
      <c r="F196" s="265">
        <v>1</v>
      </c>
      <c r="G196" s="265">
        <v>1</v>
      </c>
      <c r="H196" s="265">
        <v>0</v>
      </c>
      <c r="I196" s="266">
        <v>543872.19824218703</v>
      </c>
      <c r="J196" s="265" t="s">
        <v>327</v>
      </c>
      <c r="K196" s="265" t="s">
        <v>328</v>
      </c>
      <c r="L196" s="265" t="s">
        <v>63</v>
      </c>
      <c r="M196" s="265" t="s">
        <v>64</v>
      </c>
      <c r="N196" s="265" t="s">
        <v>728</v>
      </c>
      <c r="O196" s="265" t="s">
        <v>11</v>
      </c>
    </row>
    <row r="197" spans="1:15" s="218" customFormat="1" x14ac:dyDescent="0.25">
      <c r="A197" s="265">
        <v>3</v>
      </c>
      <c r="B197" s="265">
        <v>3</v>
      </c>
      <c r="C197" s="265" t="s">
        <v>1122</v>
      </c>
      <c r="D197" s="265">
        <v>6</v>
      </c>
      <c r="E197" s="265" t="s">
        <v>765</v>
      </c>
      <c r="F197" s="265">
        <v>1</v>
      </c>
      <c r="G197" s="265">
        <v>1</v>
      </c>
      <c r="H197" s="265">
        <v>0</v>
      </c>
      <c r="I197" s="266">
        <v>95382.612792968706</v>
      </c>
      <c r="J197" s="265" t="s">
        <v>106</v>
      </c>
      <c r="K197" s="265" t="s">
        <v>107</v>
      </c>
      <c r="L197" s="265" t="s">
        <v>30</v>
      </c>
      <c r="M197" s="265" t="s">
        <v>732</v>
      </c>
      <c r="N197" s="265" t="s">
        <v>728</v>
      </c>
      <c r="O197" s="265" t="s">
        <v>11</v>
      </c>
    </row>
    <row r="198" spans="1:15" s="264" customFormat="1" x14ac:dyDescent="0.25">
      <c r="A198" s="262">
        <v>3</v>
      </c>
      <c r="B198" s="262">
        <v>3</v>
      </c>
      <c r="C198" s="262" t="s">
        <v>1122</v>
      </c>
      <c r="D198" s="262">
        <v>6</v>
      </c>
      <c r="E198" s="262" t="s">
        <v>765</v>
      </c>
      <c r="F198" s="262">
        <v>1</v>
      </c>
      <c r="G198" s="262">
        <v>1</v>
      </c>
      <c r="H198" s="262">
        <v>0</v>
      </c>
      <c r="I198" s="263">
        <v>11732.59375</v>
      </c>
      <c r="J198" s="262" t="s">
        <v>611</v>
      </c>
      <c r="K198" s="262" t="s">
        <v>612</v>
      </c>
      <c r="L198" s="262" t="s">
        <v>24</v>
      </c>
      <c r="M198" s="262" t="s">
        <v>735</v>
      </c>
      <c r="N198" s="262" t="s">
        <v>727</v>
      </c>
      <c r="O198" s="262" t="s">
        <v>11</v>
      </c>
    </row>
    <row r="199" spans="1:15" s="129" customFormat="1" x14ac:dyDescent="0.25">
      <c r="A199" s="130">
        <v>3</v>
      </c>
      <c r="B199" s="130">
        <v>3</v>
      </c>
      <c r="C199" s="130" t="s">
        <v>1122</v>
      </c>
      <c r="D199" s="130">
        <v>6</v>
      </c>
      <c r="E199" s="130" t="s">
        <v>765</v>
      </c>
      <c r="F199" s="130">
        <v>1</v>
      </c>
      <c r="G199" s="130">
        <v>1</v>
      </c>
      <c r="H199" s="130">
        <v>0</v>
      </c>
      <c r="I199" s="131">
        <v>563644.21533203102</v>
      </c>
      <c r="J199" s="130" t="s">
        <v>657</v>
      </c>
      <c r="K199" s="130" t="s">
        <v>658</v>
      </c>
      <c r="L199" s="130" t="s">
        <v>63</v>
      </c>
      <c r="M199" s="130" t="s">
        <v>64</v>
      </c>
      <c r="N199" s="130" t="s">
        <v>15</v>
      </c>
      <c r="O199" s="130" t="s">
        <v>11</v>
      </c>
    </row>
    <row r="200" spans="1:15" s="218" customFormat="1" x14ac:dyDescent="0.25">
      <c r="A200" s="265">
        <v>3</v>
      </c>
      <c r="B200" s="265">
        <v>3</v>
      </c>
      <c r="C200" s="265" t="s">
        <v>1122</v>
      </c>
      <c r="D200" s="265">
        <v>6</v>
      </c>
      <c r="E200" s="265" t="s">
        <v>765</v>
      </c>
      <c r="F200" s="265">
        <v>1</v>
      </c>
      <c r="G200" s="265">
        <v>1</v>
      </c>
      <c r="H200" s="265">
        <v>0</v>
      </c>
      <c r="I200" s="266">
        <v>1595775.8066406201</v>
      </c>
      <c r="J200" s="265" t="s">
        <v>183</v>
      </c>
      <c r="K200" s="265" t="s">
        <v>184</v>
      </c>
      <c r="L200" s="265" t="s">
        <v>24</v>
      </c>
      <c r="M200" s="265" t="s">
        <v>735</v>
      </c>
      <c r="N200" s="265" t="s">
        <v>728</v>
      </c>
      <c r="O200" s="265" t="s">
        <v>11</v>
      </c>
    </row>
    <row r="201" spans="1:15" s="218" customFormat="1" x14ac:dyDescent="0.25">
      <c r="A201" s="265">
        <v>3</v>
      </c>
      <c r="B201" s="265">
        <v>3</v>
      </c>
      <c r="C201" s="265" t="s">
        <v>1122</v>
      </c>
      <c r="D201" s="265">
        <v>6</v>
      </c>
      <c r="E201" s="265" t="s">
        <v>765</v>
      </c>
      <c r="F201" s="265">
        <v>1</v>
      </c>
      <c r="G201" s="265">
        <v>1</v>
      </c>
      <c r="H201" s="265">
        <v>0</v>
      </c>
      <c r="I201" s="266">
        <v>95270.983886718706</v>
      </c>
      <c r="J201" s="265" t="s">
        <v>589</v>
      </c>
      <c r="K201" s="265" t="s">
        <v>590</v>
      </c>
      <c r="L201" s="265" t="s">
        <v>24</v>
      </c>
      <c r="M201" s="265" t="s">
        <v>735</v>
      </c>
      <c r="N201" s="265" t="s">
        <v>728</v>
      </c>
      <c r="O201" s="265" t="s">
        <v>11</v>
      </c>
    </row>
    <row r="202" spans="1:15" s="218" customFormat="1" x14ac:dyDescent="0.25">
      <c r="A202" s="265">
        <v>3</v>
      </c>
      <c r="B202" s="265">
        <v>3</v>
      </c>
      <c r="C202" s="265" t="s">
        <v>1122</v>
      </c>
      <c r="D202" s="265">
        <v>6</v>
      </c>
      <c r="E202" s="265" t="s">
        <v>765</v>
      </c>
      <c r="F202" s="265">
        <v>1</v>
      </c>
      <c r="G202" s="265">
        <v>1</v>
      </c>
      <c r="H202" s="265">
        <v>0</v>
      </c>
      <c r="I202" s="266">
        <v>98498.916503906206</v>
      </c>
      <c r="J202" s="265" t="s">
        <v>569</v>
      </c>
      <c r="K202" s="265" t="s">
        <v>570</v>
      </c>
      <c r="L202" s="265" t="s">
        <v>24</v>
      </c>
      <c r="M202" s="265" t="s">
        <v>735</v>
      </c>
      <c r="N202" s="265" t="s">
        <v>728</v>
      </c>
      <c r="O202" s="265" t="s">
        <v>11</v>
      </c>
    </row>
    <row r="203" spans="1:15" s="218" customFormat="1" x14ac:dyDescent="0.25">
      <c r="A203" s="265">
        <v>3</v>
      </c>
      <c r="B203" s="265">
        <v>3</v>
      </c>
      <c r="C203" s="265" t="s">
        <v>1122</v>
      </c>
      <c r="D203" s="265">
        <v>6</v>
      </c>
      <c r="E203" s="265" t="s">
        <v>765</v>
      </c>
      <c r="F203" s="265">
        <v>1</v>
      </c>
      <c r="G203" s="265">
        <v>1</v>
      </c>
      <c r="H203" s="265">
        <v>0</v>
      </c>
      <c r="I203" s="266">
        <v>255718.49560546799</v>
      </c>
      <c r="J203" s="265" t="s">
        <v>263</v>
      </c>
      <c r="K203" s="265" t="s">
        <v>264</v>
      </c>
      <c r="L203" s="265" t="s">
        <v>30</v>
      </c>
      <c r="M203" s="265" t="s">
        <v>732</v>
      </c>
      <c r="N203" s="265" t="s">
        <v>728</v>
      </c>
      <c r="O203" s="265" t="s">
        <v>11</v>
      </c>
    </row>
    <row r="204" spans="1:15" s="264" customFormat="1" x14ac:dyDescent="0.25">
      <c r="A204" s="262">
        <v>3</v>
      </c>
      <c r="B204" s="262">
        <v>3</v>
      </c>
      <c r="C204" s="262" t="s">
        <v>1122</v>
      </c>
      <c r="D204" s="262">
        <v>6</v>
      </c>
      <c r="E204" s="262" t="s">
        <v>765</v>
      </c>
      <c r="F204" s="262">
        <v>1</v>
      </c>
      <c r="G204" s="262">
        <v>1</v>
      </c>
      <c r="H204" s="262">
        <v>0</v>
      </c>
      <c r="I204" s="263">
        <v>2376.578125</v>
      </c>
      <c r="J204" s="262" t="s">
        <v>391</v>
      </c>
      <c r="K204" s="262" t="s">
        <v>392</v>
      </c>
      <c r="L204" s="262" t="s">
        <v>14</v>
      </c>
      <c r="M204" s="262" t="s">
        <v>740</v>
      </c>
      <c r="N204" s="262" t="s">
        <v>727</v>
      </c>
      <c r="O204" s="262" t="s">
        <v>741</v>
      </c>
    </row>
    <row r="205" spans="1:15" s="129" customFormat="1" x14ac:dyDescent="0.25">
      <c r="A205" s="130">
        <v>3</v>
      </c>
      <c r="B205" s="130">
        <v>3</v>
      </c>
      <c r="C205" s="130" t="s">
        <v>1122</v>
      </c>
      <c r="D205" s="130">
        <v>6</v>
      </c>
      <c r="E205" s="130" t="s">
        <v>765</v>
      </c>
      <c r="F205" s="130">
        <v>1</v>
      </c>
      <c r="G205" s="130">
        <v>1</v>
      </c>
      <c r="H205" s="130">
        <v>0</v>
      </c>
      <c r="I205" s="131">
        <v>1678025.99072265</v>
      </c>
      <c r="J205" s="130" t="s">
        <v>577</v>
      </c>
      <c r="K205" s="130" t="s">
        <v>578</v>
      </c>
      <c r="L205" s="130" t="s">
        <v>24</v>
      </c>
      <c r="M205" s="130" t="s">
        <v>735</v>
      </c>
      <c r="N205" s="130" t="s">
        <v>15</v>
      </c>
      <c r="O205" s="130" t="s">
        <v>11</v>
      </c>
    </row>
    <row r="206" spans="1:15" s="264" customFormat="1" x14ac:dyDescent="0.25">
      <c r="A206" s="262">
        <v>3</v>
      </c>
      <c r="B206" s="262">
        <v>3</v>
      </c>
      <c r="C206" s="262" t="s">
        <v>1122</v>
      </c>
      <c r="D206" s="262">
        <v>6</v>
      </c>
      <c r="E206" s="262" t="s">
        <v>765</v>
      </c>
      <c r="F206" s="262">
        <v>1</v>
      </c>
      <c r="G206" s="262">
        <v>1</v>
      </c>
      <c r="H206" s="262">
        <v>0</v>
      </c>
      <c r="I206" s="263">
        <v>24235.615234375</v>
      </c>
      <c r="J206" s="262" t="s">
        <v>593</v>
      </c>
      <c r="K206" s="262" t="s">
        <v>594</v>
      </c>
      <c r="L206" s="262" t="s">
        <v>24</v>
      </c>
      <c r="M206" s="262" t="s">
        <v>735</v>
      </c>
      <c r="N206" s="262" t="s">
        <v>727</v>
      </c>
      <c r="O206" s="262" t="s">
        <v>11</v>
      </c>
    </row>
    <row r="207" spans="1:15" s="264" customFormat="1" x14ac:dyDescent="0.25">
      <c r="A207" s="262">
        <v>3</v>
      </c>
      <c r="B207" s="262">
        <v>3</v>
      </c>
      <c r="C207" s="262" t="s">
        <v>1122</v>
      </c>
      <c r="D207" s="262">
        <v>6</v>
      </c>
      <c r="E207" s="262" t="s">
        <v>765</v>
      </c>
      <c r="F207" s="262">
        <v>1</v>
      </c>
      <c r="G207" s="262">
        <v>1</v>
      </c>
      <c r="H207" s="262">
        <v>0</v>
      </c>
      <c r="I207" s="263">
        <v>74677.521484375</v>
      </c>
      <c r="J207" s="262" t="s">
        <v>531</v>
      </c>
      <c r="K207" s="262" t="s">
        <v>532</v>
      </c>
      <c r="L207" s="262" t="s">
        <v>24</v>
      </c>
      <c r="M207" s="262" t="s">
        <v>735</v>
      </c>
      <c r="N207" s="262" t="s">
        <v>727</v>
      </c>
      <c r="O207" s="262" t="s">
        <v>11</v>
      </c>
    </row>
    <row r="208" spans="1:15" s="218" customFormat="1" x14ac:dyDescent="0.25">
      <c r="A208" s="265">
        <v>3</v>
      </c>
      <c r="B208" s="265">
        <v>3</v>
      </c>
      <c r="C208" s="265" t="s">
        <v>1122</v>
      </c>
      <c r="D208" s="265">
        <v>6</v>
      </c>
      <c r="E208" s="265" t="s">
        <v>765</v>
      </c>
      <c r="F208" s="265">
        <v>1</v>
      </c>
      <c r="G208" s="265">
        <v>1</v>
      </c>
      <c r="H208" s="265">
        <v>0</v>
      </c>
      <c r="I208" s="266">
        <v>320103.31494140602</v>
      </c>
      <c r="J208" s="265" t="s">
        <v>563</v>
      </c>
      <c r="K208" s="265" t="s">
        <v>564</v>
      </c>
      <c r="L208" s="265" t="s">
        <v>24</v>
      </c>
      <c r="M208" s="265" t="s">
        <v>735</v>
      </c>
      <c r="N208" s="265" t="s">
        <v>728</v>
      </c>
      <c r="O208" s="265" t="s">
        <v>11</v>
      </c>
    </row>
    <row r="209" spans="1:15" s="264" customFormat="1" x14ac:dyDescent="0.25">
      <c r="A209" s="262">
        <v>3</v>
      </c>
      <c r="B209" s="262">
        <v>3</v>
      </c>
      <c r="C209" s="262" t="s">
        <v>1122</v>
      </c>
      <c r="D209" s="262">
        <v>6</v>
      </c>
      <c r="E209" s="262" t="s">
        <v>765</v>
      </c>
      <c r="F209" s="262">
        <v>1</v>
      </c>
      <c r="G209" s="262">
        <v>1</v>
      </c>
      <c r="H209" s="262">
        <v>0</v>
      </c>
      <c r="I209" s="263">
        <v>5328.78466796875</v>
      </c>
      <c r="J209" s="262" t="s">
        <v>110</v>
      </c>
      <c r="K209" s="262" t="s">
        <v>111</v>
      </c>
      <c r="L209" s="262" t="s">
        <v>30</v>
      </c>
      <c r="M209" s="262" t="s">
        <v>732</v>
      </c>
      <c r="N209" s="262" t="s">
        <v>727</v>
      </c>
      <c r="O209" s="262" t="s">
        <v>11</v>
      </c>
    </row>
    <row r="210" spans="1:15" s="264" customFormat="1" x14ac:dyDescent="0.25">
      <c r="A210" s="262">
        <v>3</v>
      </c>
      <c r="B210" s="262">
        <v>3</v>
      </c>
      <c r="C210" s="262" t="s">
        <v>1122</v>
      </c>
      <c r="D210" s="262">
        <v>6</v>
      </c>
      <c r="E210" s="262" t="s">
        <v>765</v>
      </c>
      <c r="F210" s="262">
        <v>1</v>
      </c>
      <c r="G210" s="262">
        <v>1</v>
      </c>
      <c r="H210" s="262">
        <v>0</v>
      </c>
      <c r="I210" s="263">
        <v>25681.433105468699</v>
      </c>
      <c r="J210" s="262" t="s">
        <v>444</v>
      </c>
      <c r="K210" s="262" t="s">
        <v>445</v>
      </c>
      <c r="L210" s="262" t="s">
        <v>24</v>
      </c>
      <c r="M210" s="262" t="s">
        <v>735</v>
      </c>
      <c r="N210" s="262" t="s">
        <v>727</v>
      </c>
      <c r="O210" s="262" t="s">
        <v>11</v>
      </c>
    </row>
    <row r="211" spans="1:15" s="264" customFormat="1" x14ac:dyDescent="0.25">
      <c r="A211" s="262">
        <v>3</v>
      </c>
      <c r="B211" s="262">
        <v>3</v>
      </c>
      <c r="C211" s="262" t="s">
        <v>1122</v>
      </c>
      <c r="D211" s="262">
        <v>6</v>
      </c>
      <c r="E211" s="262" t="s">
        <v>765</v>
      </c>
      <c r="F211" s="262">
        <v>1</v>
      </c>
      <c r="G211" s="262">
        <v>1</v>
      </c>
      <c r="H211" s="262">
        <v>0</v>
      </c>
      <c r="I211" s="263">
        <v>74740.056152343706</v>
      </c>
      <c r="J211" s="262" t="s">
        <v>22</v>
      </c>
      <c r="K211" s="262" t="s">
        <v>23</v>
      </c>
      <c r="L211" s="262" t="s">
        <v>24</v>
      </c>
      <c r="M211" s="262" t="s">
        <v>735</v>
      </c>
      <c r="N211" s="262" t="s">
        <v>727</v>
      </c>
      <c r="O211" s="262" t="s">
        <v>11</v>
      </c>
    </row>
    <row r="212" spans="1:15" s="129" customFormat="1" x14ac:dyDescent="0.25">
      <c r="A212" s="130">
        <v>3</v>
      </c>
      <c r="B212" s="130">
        <v>3</v>
      </c>
      <c r="C212" s="130" t="s">
        <v>1122</v>
      </c>
      <c r="D212" s="130">
        <v>6</v>
      </c>
      <c r="E212" s="130" t="s">
        <v>765</v>
      </c>
      <c r="F212" s="130">
        <v>1</v>
      </c>
      <c r="G212" s="130">
        <v>1</v>
      </c>
      <c r="H212" s="130">
        <v>0</v>
      </c>
      <c r="I212" s="131">
        <v>171520.83056640599</v>
      </c>
      <c r="J212" s="130" t="s">
        <v>617</v>
      </c>
      <c r="K212" s="130" t="s">
        <v>618</v>
      </c>
      <c r="L212" s="130" t="s">
        <v>30</v>
      </c>
      <c r="M212" s="130" t="s">
        <v>732</v>
      </c>
      <c r="N212" s="130" t="s">
        <v>15</v>
      </c>
      <c r="O212" s="130" t="s">
        <v>11</v>
      </c>
    </row>
    <row r="213" spans="1:15" s="218" customFormat="1" x14ac:dyDescent="0.25">
      <c r="A213" s="265">
        <v>3</v>
      </c>
      <c r="B213" s="265">
        <v>3</v>
      </c>
      <c r="C213" s="265" t="s">
        <v>1122</v>
      </c>
      <c r="D213" s="265">
        <v>6</v>
      </c>
      <c r="E213" s="265" t="s">
        <v>765</v>
      </c>
      <c r="F213" s="265">
        <v>1</v>
      </c>
      <c r="G213" s="265">
        <v>1</v>
      </c>
      <c r="H213" s="265">
        <v>0</v>
      </c>
      <c r="I213" s="266">
        <v>178553.85498046799</v>
      </c>
      <c r="J213" s="265" t="s">
        <v>645</v>
      </c>
      <c r="K213" s="265" t="s">
        <v>646</v>
      </c>
      <c r="L213" s="265" t="s">
        <v>63</v>
      </c>
      <c r="M213" s="265" t="s">
        <v>64</v>
      </c>
      <c r="N213" s="265" t="s">
        <v>728</v>
      </c>
      <c r="O213" s="265" t="s">
        <v>11</v>
      </c>
    </row>
    <row r="214" spans="1:15" s="129" customFormat="1" x14ac:dyDescent="0.25">
      <c r="A214" s="130">
        <v>3</v>
      </c>
      <c r="B214" s="130">
        <v>3</v>
      </c>
      <c r="C214" s="130" t="s">
        <v>1122</v>
      </c>
      <c r="D214" s="130">
        <v>6</v>
      </c>
      <c r="E214" s="130" t="s">
        <v>765</v>
      </c>
      <c r="F214" s="130">
        <v>1</v>
      </c>
      <c r="G214" s="130">
        <v>1</v>
      </c>
      <c r="H214" s="130">
        <v>0</v>
      </c>
      <c r="I214" s="131">
        <v>587129.98583984305</v>
      </c>
      <c r="J214" s="130" t="s">
        <v>593</v>
      </c>
      <c r="K214" s="130" t="s">
        <v>594</v>
      </c>
      <c r="L214" s="130" t="s">
        <v>24</v>
      </c>
      <c r="M214" s="130" t="s">
        <v>735</v>
      </c>
      <c r="N214" s="130" t="s">
        <v>15</v>
      </c>
      <c r="O214" s="130" t="s">
        <v>11</v>
      </c>
    </row>
    <row r="215" spans="1:15" s="129" customFormat="1" x14ac:dyDescent="0.25">
      <c r="A215" s="130">
        <v>3</v>
      </c>
      <c r="B215" s="130">
        <v>3</v>
      </c>
      <c r="C215" s="130" t="s">
        <v>1122</v>
      </c>
      <c r="D215" s="130">
        <v>6</v>
      </c>
      <c r="E215" s="130" t="s">
        <v>765</v>
      </c>
      <c r="F215" s="130">
        <v>1</v>
      </c>
      <c r="G215" s="130">
        <v>1</v>
      </c>
      <c r="H215" s="130">
        <v>0</v>
      </c>
      <c r="I215" s="131">
        <v>63689.115722656199</v>
      </c>
      <c r="J215" s="130" t="s">
        <v>567</v>
      </c>
      <c r="K215" s="130" t="s">
        <v>568</v>
      </c>
      <c r="L215" s="130" t="s">
        <v>63</v>
      </c>
      <c r="M215" s="130" t="s">
        <v>64</v>
      </c>
      <c r="N215" s="130" t="s">
        <v>15</v>
      </c>
      <c r="O215" s="130" t="s">
        <v>11</v>
      </c>
    </row>
    <row r="216" spans="1:15" s="264" customFormat="1" x14ac:dyDescent="0.25">
      <c r="A216" s="262">
        <v>3</v>
      </c>
      <c r="B216" s="262">
        <v>3</v>
      </c>
      <c r="C216" s="262" t="s">
        <v>1122</v>
      </c>
      <c r="D216" s="262">
        <v>6</v>
      </c>
      <c r="E216" s="262" t="s">
        <v>765</v>
      </c>
      <c r="F216" s="262">
        <v>1</v>
      </c>
      <c r="G216" s="262">
        <v>1</v>
      </c>
      <c r="H216" s="262">
        <v>0</v>
      </c>
      <c r="I216" s="263">
        <v>7962.2529296875</v>
      </c>
      <c r="J216" s="262" t="s">
        <v>643</v>
      </c>
      <c r="K216" s="262" t="s">
        <v>644</v>
      </c>
      <c r="L216" s="262" t="s">
        <v>63</v>
      </c>
      <c r="M216" s="262" t="s">
        <v>64</v>
      </c>
      <c r="N216" s="262" t="s">
        <v>727</v>
      </c>
      <c r="O216" s="262" t="s">
        <v>11</v>
      </c>
    </row>
    <row r="217" spans="1:15" s="264" customFormat="1" x14ac:dyDescent="0.25">
      <c r="A217" s="262">
        <v>3</v>
      </c>
      <c r="B217" s="262">
        <v>3</v>
      </c>
      <c r="C217" s="262" t="s">
        <v>1122</v>
      </c>
      <c r="D217" s="262">
        <v>6</v>
      </c>
      <c r="E217" s="262" t="s">
        <v>765</v>
      </c>
      <c r="F217" s="262">
        <v>1</v>
      </c>
      <c r="G217" s="262">
        <v>1</v>
      </c>
      <c r="H217" s="262">
        <v>0</v>
      </c>
      <c r="I217" s="263">
        <v>42852.4228515625</v>
      </c>
      <c r="J217" s="262" t="s">
        <v>641</v>
      </c>
      <c r="K217" s="262" t="s">
        <v>642</v>
      </c>
      <c r="L217" s="262" t="s">
        <v>63</v>
      </c>
      <c r="M217" s="262" t="s">
        <v>64</v>
      </c>
      <c r="N217" s="262" t="s">
        <v>727</v>
      </c>
      <c r="O217" s="262" t="s">
        <v>11</v>
      </c>
    </row>
    <row r="218" spans="1:15" s="129" customFormat="1" x14ac:dyDescent="0.25">
      <c r="A218" s="130">
        <v>3</v>
      </c>
      <c r="B218" s="130">
        <v>3</v>
      </c>
      <c r="C218" s="130" t="s">
        <v>1122</v>
      </c>
      <c r="D218" s="130">
        <v>6</v>
      </c>
      <c r="E218" s="130" t="s">
        <v>765</v>
      </c>
      <c r="F218" s="130">
        <v>1</v>
      </c>
      <c r="G218" s="130">
        <v>1</v>
      </c>
      <c r="H218" s="130">
        <v>0</v>
      </c>
      <c r="I218" s="131">
        <v>5051430.7641601497</v>
      </c>
      <c r="J218" s="130" t="s">
        <v>418</v>
      </c>
      <c r="K218" s="130" t="s">
        <v>419</v>
      </c>
      <c r="L218" s="130" t="s">
        <v>63</v>
      </c>
      <c r="M218" s="130" t="s">
        <v>64</v>
      </c>
      <c r="N218" s="130" t="s">
        <v>15</v>
      </c>
      <c r="O218" s="130" t="s">
        <v>11</v>
      </c>
    </row>
    <row r="219" spans="1:15" s="264" customFormat="1" x14ac:dyDescent="0.25">
      <c r="A219" s="262">
        <v>3</v>
      </c>
      <c r="B219" s="262">
        <v>3</v>
      </c>
      <c r="C219" s="262" t="s">
        <v>1122</v>
      </c>
      <c r="D219" s="262">
        <v>6</v>
      </c>
      <c r="E219" s="262" t="s">
        <v>765</v>
      </c>
      <c r="F219" s="262">
        <v>1</v>
      </c>
      <c r="G219" s="262">
        <v>1</v>
      </c>
      <c r="H219" s="262">
        <v>0</v>
      </c>
      <c r="I219" s="263">
        <v>49875.283691406199</v>
      </c>
      <c r="J219" s="262" t="s">
        <v>317</v>
      </c>
      <c r="K219" s="262" t="s">
        <v>318</v>
      </c>
      <c r="L219" s="262" t="s">
        <v>24</v>
      </c>
      <c r="M219" s="262" t="s">
        <v>735</v>
      </c>
      <c r="N219" s="262" t="s">
        <v>727</v>
      </c>
      <c r="O219" s="262" t="s">
        <v>11</v>
      </c>
    </row>
    <row r="220" spans="1:15" s="218" customFormat="1" x14ac:dyDescent="0.25">
      <c r="A220" s="265">
        <v>3</v>
      </c>
      <c r="B220" s="265">
        <v>3</v>
      </c>
      <c r="C220" s="265" t="s">
        <v>1122</v>
      </c>
      <c r="D220" s="265">
        <v>6</v>
      </c>
      <c r="E220" s="265" t="s">
        <v>765</v>
      </c>
      <c r="F220" s="265">
        <v>1</v>
      </c>
      <c r="G220" s="265">
        <v>1</v>
      </c>
      <c r="H220" s="265">
        <v>0</v>
      </c>
      <c r="I220" s="266">
        <v>90899.803222656206</v>
      </c>
      <c r="J220" s="265" t="s">
        <v>446</v>
      </c>
      <c r="K220" s="265" t="s">
        <v>447</v>
      </c>
      <c r="L220" s="265" t="s">
        <v>14</v>
      </c>
      <c r="M220" s="265" t="s">
        <v>740</v>
      </c>
      <c r="N220" s="265" t="s">
        <v>728</v>
      </c>
      <c r="O220" s="265" t="s">
        <v>11</v>
      </c>
    </row>
    <row r="221" spans="1:15" s="264" customFormat="1" x14ac:dyDescent="0.25">
      <c r="A221" s="262">
        <v>3</v>
      </c>
      <c r="B221" s="262">
        <v>3</v>
      </c>
      <c r="C221" s="262" t="s">
        <v>1122</v>
      </c>
      <c r="D221" s="262">
        <v>6</v>
      </c>
      <c r="E221" s="262" t="s">
        <v>765</v>
      </c>
      <c r="F221" s="262">
        <v>1</v>
      </c>
      <c r="G221" s="262">
        <v>1</v>
      </c>
      <c r="H221" s="262">
        <v>0</v>
      </c>
      <c r="I221" s="263">
        <v>92557.73828125</v>
      </c>
      <c r="J221" s="262" t="s">
        <v>42</v>
      </c>
      <c r="K221" s="262" t="s">
        <v>43</v>
      </c>
      <c r="L221" s="262" t="s">
        <v>30</v>
      </c>
      <c r="M221" s="262" t="s">
        <v>732</v>
      </c>
      <c r="N221" s="262" t="s">
        <v>727</v>
      </c>
      <c r="O221" s="262" t="s">
        <v>11</v>
      </c>
    </row>
    <row r="222" spans="1:15" s="264" customFormat="1" x14ac:dyDescent="0.25">
      <c r="A222" s="262">
        <v>3</v>
      </c>
      <c r="B222" s="262">
        <v>3</v>
      </c>
      <c r="C222" s="262" t="s">
        <v>1122</v>
      </c>
      <c r="D222" s="262">
        <v>6</v>
      </c>
      <c r="E222" s="262" t="s">
        <v>765</v>
      </c>
      <c r="F222" s="262">
        <v>1</v>
      </c>
      <c r="G222" s="262">
        <v>1</v>
      </c>
      <c r="H222" s="262">
        <v>0</v>
      </c>
      <c r="I222" s="263">
        <v>3356936.9433593699</v>
      </c>
      <c r="J222" s="262" t="s">
        <v>418</v>
      </c>
      <c r="K222" s="262" t="s">
        <v>419</v>
      </c>
      <c r="L222" s="262" t="s">
        <v>63</v>
      </c>
      <c r="M222" s="262" t="s">
        <v>64</v>
      </c>
      <c r="N222" s="262" t="s">
        <v>727</v>
      </c>
      <c r="O222" s="262" t="s">
        <v>11</v>
      </c>
    </row>
    <row r="223" spans="1:15" s="218" customFormat="1" x14ac:dyDescent="0.25">
      <c r="A223" s="265">
        <v>3</v>
      </c>
      <c r="B223" s="265">
        <v>3</v>
      </c>
      <c r="C223" s="265" t="s">
        <v>1122</v>
      </c>
      <c r="D223" s="265">
        <v>6</v>
      </c>
      <c r="E223" s="265" t="s">
        <v>765</v>
      </c>
      <c r="F223" s="265">
        <v>1</v>
      </c>
      <c r="G223" s="265">
        <v>1</v>
      </c>
      <c r="H223" s="265">
        <v>0</v>
      </c>
      <c r="I223" s="266">
        <v>125238.883300781</v>
      </c>
      <c r="J223" s="265" t="s">
        <v>444</v>
      </c>
      <c r="K223" s="265" t="s">
        <v>445</v>
      </c>
      <c r="L223" s="265" t="s">
        <v>24</v>
      </c>
      <c r="M223" s="265" t="s">
        <v>735</v>
      </c>
      <c r="N223" s="265" t="s">
        <v>728</v>
      </c>
      <c r="O223" s="265" t="s">
        <v>11</v>
      </c>
    </row>
    <row r="224" spans="1:15" s="264" customFormat="1" x14ac:dyDescent="0.25">
      <c r="A224" s="262">
        <v>3</v>
      </c>
      <c r="B224" s="262">
        <v>3</v>
      </c>
      <c r="C224" s="262" t="s">
        <v>1122</v>
      </c>
      <c r="D224" s="262">
        <v>6</v>
      </c>
      <c r="E224" s="262" t="s">
        <v>765</v>
      </c>
      <c r="F224" s="262">
        <v>1</v>
      </c>
      <c r="G224" s="262">
        <v>1</v>
      </c>
      <c r="H224" s="262">
        <v>0</v>
      </c>
      <c r="I224" s="263">
        <v>18570.0068359375</v>
      </c>
      <c r="J224" s="262" t="s">
        <v>213</v>
      </c>
      <c r="K224" s="262" t="s">
        <v>214</v>
      </c>
      <c r="L224" s="262" t="s">
        <v>24</v>
      </c>
      <c r="M224" s="262" t="s">
        <v>735</v>
      </c>
      <c r="N224" s="262" t="s">
        <v>727</v>
      </c>
      <c r="O224" s="262" t="s">
        <v>11</v>
      </c>
    </row>
    <row r="225" spans="1:15" s="264" customFormat="1" x14ac:dyDescent="0.25">
      <c r="A225" s="262">
        <v>3</v>
      </c>
      <c r="B225" s="262">
        <v>3</v>
      </c>
      <c r="C225" s="262" t="s">
        <v>1122</v>
      </c>
      <c r="D225" s="262">
        <v>6</v>
      </c>
      <c r="E225" s="262" t="s">
        <v>765</v>
      </c>
      <c r="F225" s="262">
        <v>1</v>
      </c>
      <c r="G225" s="262">
        <v>1</v>
      </c>
      <c r="H225" s="262">
        <v>0</v>
      </c>
      <c r="I225" s="263">
        <v>56159.597167968699</v>
      </c>
      <c r="J225" s="262" t="s">
        <v>657</v>
      </c>
      <c r="K225" s="262" t="s">
        <v>658</v>
      </c>
      <c r="L225" s="262" t="s">
        <v>63</v>
      </c>
      <c r="M225" s="262" t="s">
        <v>64</v>
      </c>
      <c r="N225" s="262" t="s">
        <v>727</v>
      </c>
      <c r="O225" s="262" t="s">
        <v>11</v>
      </c>
    </row>
    <row r="226" spans="1:15" s="218" customFormat="1" x14ac:dyDescent="0.25">
      <c r="A226" s="265">
        <v>3</v>
      </c>
      <c r="B226" s="265">
        <v>3</v>
      </c>
      <c r="C226" s="265" t="s">
        <v>1122</v>
      </c>
      <c r="D226" s="265">
        <v>6</v>
      </c>
      <c r="E226" s="265" t="s">
        <v>765</v>
      </c>
      <c r="F226" s="265">
        <v>1</v>
      </c>
      <c r="G226" s="265">
        <v>1</v>
      </c>
      <c r="H226" s="265">
        <v>0</v>
      </c>
      <c r="I226" s="266">
        <v>85901.0068359375</v>
      </c>
      <c r="J226" s="265" t="s">
        <v>573</v>
      </c>
      <c r="K226" s="265" t="s">
        <v>574</v>
      </c>
      <c r="L226" s="265" t="s">
        <v>63</v>
      </c>
      <c r="M226" s="265" t="s">
        <v>64</v>
      </c>
      <c r="N226" s="265" t="s">
        <v>728</v>
      </c>
      <c r="O226" s="265" t="s">
        <v>11</v>
      </c>
    </row>
    <row r="227" spans="1:15" s="218" customFormat="1" x14ac:dyDescent="0.25">
      <c r="A227" s="265">
        <v>3</v>
      </c>
      <c r="B227" s="265">
        <v>3</v>
      </c>
      <c r="C227" s="265" t="s">
        <v>1122</v>
      </c>
      <c r="D227" s="265">
        <v>6</v>
      </c>
      <c r="E227" s="265" t="s">
        <v>765</v>
      </c>
      <c r="F227" s="265">
        <v>1</v>
      </c>
      <c r="G227" s="265">
        <v>1</v>
      </c>
      <c r="H227" s="265">
        <v>0</v>
      </c>
      <c r="I227" s="266">
        <v>221282.0859375</v>
      </c>
      <c r="J227" s="265" t="s">
        <v>531</v>
      </c>
      <c r="K227" s="265" t="s">
        <v>532</v>
      </c>
      <c r="L227" s="265" t="s">
        <v>24</v>
      </c>
      <c r="M227" s="265" t="s">
        <v>735</v>
      </c>
      <c r="N227" s="265" t="s">
        <v>728</v>
      </c>
      <c r="O227" s="265" t="s">
        <v>11</v>
      </c>
    </row>
    <row r="228" spans="1:15" s="129" customFormat="1" x14ac:dyDescent="0.25">
      <c r="A228" s="130">
        <v>3</v>
      </c>
      <c r="B228" s="130">
        <v>3</v>
      </c>
      <c r="C228" s="130" t="s">
        <v>1122</v>
      </c>
      <c r="D228" s="130">
        <v>6</v>
      </c>
      <c r="E228" s="130" t="s">
        <v>765</v>
      </c>
      <c r="F228" s="130">
        <v>1</v>
      </c>
      <c r="G228" s="130">
        <v>1</v>
      </c>
      <c r="H228" s="130">
        <v>0</v>
      </c>
      <c r="I228" s="131">
        <v>629640.87207031203</v>
      </c>
      <c r="J228" s="130" t="s">
        <v>353</v>
      </c>
      <c r="K228" s="130" t="s">
        <v>354</v>
      </c>
      <c r="L228" s="130" t="s">
        <v>30</v>
      </c>
      <c r="M228" s="130" t="s">
        <v>732</v>
      </c>
      <c r="N228" s="130" t="s">
        <v>15</v>
      </c>
      <c r="O228" s="130" t="s">
        <v>11</v>
      </c>
    </row>
    <row r="229" spans="1:15" s="218" customFormat="1" x14ac:dyDescent="0.25">
      <c r="A229" s="265">
        <v>3</v>
      </c>
      <c r="B229" s="265">
        <v>3</v>
      </c>
      <c r="C229" s="265" t="s">
        <v>1122</v>
      </c>
      <c r="D229" s="265">
        <v>6</v>
      </c>
      <c r="E229" s="265" t="s">
        <v>765</v>
      </c>
      <c r="F229" s="265">
        <v>1</v>
      </c>
      <c r="G229" s="265">
        <v>1</v>
      </c>
      <c r="H229" s="265">
        <v>0</v>
      </c>
      <c r="I229" s="266">
        <v>9350.125</v>
      </c>
      <c r="J229" s="265" t="s">
        <v>391</v>
      </c>
      <c r="K229" s="265" t="s">
        <v>392</v>
      </c>
      <c r="L229" s="265" t="s">
        <v>14</v>
      </c>
      <c r="M229" s="265" t="s">
        <v>740</v>
      </c>
      <c r="N229" s="265" t="s">
        <v>728</v>
      </c>
      <c r="O229" s="265" t="s">
        <v>741</v>
      </c>
    </row>
    <row r="230" spans="1:15" s="129" customFormat="1" x14ac:dyDescent="0.25">
      <c r="A230" s="130">
        <v>3</v>
      </c>
      <c r="B230" s="130">
        <v>3</v>
      </c>
      <c r="C230" s="130" t="s">
        <v>1122</v>
      </c>
      <c r="D230" s="130">
        <v>6</v>
      </c>
      <c r="E230" s="130" t="s">
        <v>765</v>
      </c>
      <c r="F230" s="130">
        <v>1</v>
      </c>
      <c r="G230" s="130">
        <v>1</v>
      </c>
      <c r="H230" s="130">
        <v>0</v>
      </c>
      <c r="I230" s="131">
        <v>446723.83154296799</v>
      </c>
      <c r="J230" s="130" t="s">
        <v>253</v>
      </c>
      <c r="K230" s="130" t="s">
        <v>254</v>
      </c>
      <c r="L230" s="130" t="s">
        <v>30</v>
      </c>
      <c r="M230" s="130" t="s">
        <v>732</v>
      </c>
      <c r="N230" s="130" t="s">
        <v>15</v>
      </c>
      <c r="O230" s="130" t="s">
        <v>11</v>
      </c>
    </row>
    <row r="231" spans="1:15" s="264" customFormat="1" x14ac:dyDescent="0.25">
      <c r="A231" s="262">
        <v>3</v>
      </c>
      <c r="B231" s="262">
        <v>3</v>
      </c>
      <c r="C231" s="262" t="s">
        <v>1122</v>
      </c>
      <c r="D231" s="262">
        <v>6</v>
      </c>
      <c r="E231" s="262" t="s">
        <v>765</v>
      </c>
      <c r="F231" s="262">
        <v>1</v>
      </c>
      <c r="G231" s="262">
        <v>1</v>
      </c>
      <c r="H231" s="262">
        <v>0</v>
      </c>
      <c r="I231" s="263">
        <v>34753.296875</v>
      </c>
      <c r="J231" s="262" t="s">
        <v>432</v>
      </c>
      <c r="K231" s="262" t="s">
        <v>433</v>
      </c>
      <c r="L231" s="262" t="s">
        <v>30</v>
      </c>
      <c r="M231" s="262" t="s">
        <v>732</v>
      </c>
      <c r="N231" s="262" t="s">
        <v>727</v>
      </c>
      <c r="O231" s="262" t="s">
        <v>11</v>
      </c>
    </row>
    <row r="232" spans="1:15" s="129" customFormat="1" x14ac:dyDescent="0.25">
      <c r="A232" s="130">
        <v>3</v>
      </c>
      <c r="B232" s="130">
        <v>3</v>
      </c>
      <c r="C232" s="130" t="s">
        <v>1122</v>
      </c>
      <c r="D232" s="130">
        <v>6</v>
      </c>
      <c r="E232" s="130" t="s">
        <v>765</v>
      </c>
      <c r="F232" s="130">
        <v>1</v>
      </c>
      <c r="G232" s="130">
        <v>1</v>
      </c>
      <c r="H232" s="130">
        <v>0</v>
      </c>
      <c r="I232" s="131">
        <v>1794525.0307617099</v>
      </c>
      <c r="J232" s="130" t="s">
        <v>466</v>
      </c>
      <c r="K232" s="130" t="s">
        <v>467</v>
      </c>
      <c r="L232" s="130" t="s">
        <v>63</v>
      </c>
      <c r="M232" s="130" t="s">
        <v>64</v>
      </c>
      <c r="N232" s="130" t="s">
        <v>15</v>
      </c>
      <c r="O232" s="130" t="s">
        <v>11</v>
      </c>
    </row>
    <row r="233" spans="1:15" s="264" customFormat="1" x14ac:dyDescent="0.25">
      <c r="A233" s="262">
        <v>3</v>
      </c>
      <c r="B233" s="262">
        <v>3</v>
      </c>
      <c r="C233" s="262" t="s">
        <v>1122</v>
      </c>
      <c r="D233" s="262">
        <v>6</v>
      </c>
      <c r="E233" s="262" t="s">
        <v>765</v>
      </c>
      <c r="F233" s="262">
        <v>1</v>
      </c>
      <c r="G233" s="262">
        <v>1</v>
      </c>
      <c r="H233" s="262">
        <v>0</v>
      </c>
      <c r="I233" s="263">
        <v>46625.689941406199</v>
      </c>
      <c r="J233" s="262" t="s">
        <v>589</v>
      </c>
      <c r="K233" s="262" t="s">
        <v>590</v>
      </c>
      <c r="L233" s="262" t="s">
        <v>24</v>
      </c>
      <c r="M233" s="262" t="s">
        <v>735</v>
      </c>
      <c r="N233" s="262" t="s">
        <v>727</v>
      </c>
      <c r="O233" s="262" t="s">
        <v>11</v>
      </c>
    </row>
    <row r="234" spans="1:15" s="218" customFormat="1" x14ac:dyDescent="0.25">
      <c r="A234" s="265">
        <v>3</v>
      </c>
      <c r="B234" s="265">
        <v>3</v>
      </c>
      <c r="C234" s="265" t="s">
        <v>1122</v>
      </c>
      <c r="D234" s="265">
        <v>6</v>
      </c>
      <c r="E234" s="265" t="s">
        <v>765</v>
      </c>
      <c r="F234" s="265">
        <v>1</v>
      </c>
      <c r="G234" s="265">
        <v>1</v>
      </c>
      <c r="H234" s="265">
        <v>0</v>
      </c>
      <c r="I234" s="266">
        <v>116681.797363281</v>
      </c>
      <c r="J234" s="265" t="s">
        <v>315</v>
      </c>
      <c r="K234" s="265" t="s">
        <v>316</v>
      </c>
      <c r="L234" s="265" t="s">
        <v>63</v>
      </c>
      <c r="M234" s="265" t="s">
        <v>64</v>
      </c>
      <c r="N234" s="265" t="s">
        <v>728</v>
      </c>
      <c r="O234" s="265" t="s">
        <v>11</v>
      </c>
    </row>
    <row r="235" spans="1:15" s="129" customFormat="1" x14ac:dyDescent="0.25">
      <c r="A235" s="130">
        <v>3</v>
      </c>
      <c r="B235" s="130">
        <v>3</v>
      </c>
      <c r="C235" s="130" t="s">
        <v>1122</v>
      </c>
      <c r="D235" s="130">
        <v>6</v>
      </c>
      <c r="E235" s="130" t="s">
        <v>765</v>
      </c>
      <c r="F235" s="130">
        <v>1</v>
      </c>
      <c r="G235" s="130">
        <v>1</v>
      </c>
      <c r="H235" s="130">
        <v>0</v>
      </c>
      <c r="I235" s="131">
        <v>504035.57373046799</v>
      </c>
      <c r="J235" s="130" t="s">
        <v>213</v>
      </c>
      <c r="K235" s="130" t="s">
        <v>214</v>
      </c>
      <c r="L235" s="130" t="s">
        <v>24</v>
      </c>
      <c r="M235" s="130" t="s">
        <v>735</v>
      </c>
      <c r="N235" s="130" t="s">
        <v>15</v>
      </c>
      <c r="O235" s="130" t="s">
        <v>11</v>
      </c>
    </row>
    <row r="236" spans="1:15" s="218" customFormat="1" x14ac:dyDescent="0.25">
      <c r="A236" s="265">
        <v>3</v>
      </c>
      <c r="B236" s="265">
        <v>3</v>
      </c>
      <c r="C236" s="265" t="s">
        <v>1122</v>
      </c>
      <c r="D236" s="265">
        <v>6</v>
      </c>
      <c r="E236" s="265" t="s">
        <v>765</v>
      </c>
      <c r="F236" s="265">
        <v>1</v>
      </c>
      <c r="G236" s="265">
        <v>1</v>
      </c>
      <c r="H236" s="265">
        <v>0</v>
      </c>
      <c r="I236" s="266">
        <v>181513.517578125</v>
      </c>
      <c r="J236" s="265" t="s">
        <v>509</v>
      </c>
      <c r="K236" s="265" t="s">
        <v>510</v>
      </c>
      <c r="L236" s="265" t="s">
        <v>24</v>
      </c>
      <c r="M236" s="265" t="s">
        <v>735</v>
      </c>
      <c r="N236" s="265" t="s">
        <v>728</v>
      </c>
      <c r="O236" s="265" t="s">
        <v>11</v>
      </c>
    </row>
    <row r="237" spans="1:15" s="264" customFormat="1" x14ac:dyDescent="0.25">
      <c r="A237" s="262">
        <v>3</v>
      </c>
      <c r="B237" s="262">
        <v>3</v>
      </c>
      <c r="C237" s="262" t="s">
        <v>1122</v>
      </c>
      <c r="D237" s="262">
        <v>6</v>
      </c>
      <c r="E237" s="262" t="s">
        <v>765</v>
      </c>
      <c r="F237" s="262">
        <v>1</v>
      </c>
      <c r="G237" s="262">
        <v>1</v>
      </c>
      <c r="H237" s="262">
        <v>0</v>
      </c>
      <c r="I237" s="263">
        <v>19513.966796875</v>
      </c>
      <c r="J237" s="262" t="s">
        <v>509</v>
      </c>
      <c r="K237" s="262" t="s">
        <v>510</v>
      </c>
      <c r="L237" s="262" t="s">
        <v>24</v>
      </c>
      <c r="M237" s="262" t="s">
        <v>735</v>
      </c>
      <c r="N237" s="262" t="s">
        <v>727</v>
      </c>
      <c r="O237" s="262" t="s">
        <v>11</v>
      </c>
    </row>
    <row r="238" spans="1:15" s="129" customFormat="1" x14ac:dyDescent="0.25">
      <c r="A238" s="130">
        <v>3</v>
      </c>
      <c r="B238" s="130">
        <v>3</v>
      </c>
      <c r="C238" s="130" t="s">
        <v>1122</v>
      </c>
      <c r="D238" s="130">
        <v>6</v>
      </c>
      <c r="E238" s="130" t="s">
        <v>765</v>
      </c>
      <c r="F238" s="130">
        <v>1</v>
      </c>
      <c r="G238" s="130">
        <v>1</v>
      </c>
      <c r="H238" s="130">
        <v>0</v>
      </c>
      <c r="I238" s="131">
        <v>297427.73193359299</v>
      </c>
      <c r="J238" s="130" t="s">
        <v>403</v>
      </c>
      <c r="K238" s="130" t="s">
        <v>404</v>
      </c>
      <c r="L238" s="130" t="s">
        <v>14</v>
      </c>
      <c r="M238" s="130" t="s">
        <v>740</v>
      </c>
      <c r="N238" s="130" t="s">
        <v>15</v>
      </c>
      <c r="O238" s="130" t="s">
        <v>11</v>
      </c>
    </row>
    <row r="239" spans="1:15" s="218" customFormat="1" x14ac:dyDescent="0.25">
      <c r="A239" s="265">
        <v>3</v>
      </c>
      <c r="B239" s="265">
        <v>3</v>
      </c>
      <c r="C239" s="265" t="s">
        <v>1122</v>
      </c>
      <c r="D239" s="265">
        <v>6</v>
      </c>
      <c r="E239" s="265" t="s">
        <v>765</v>
      </c>
      <c r="F239" s="265">
        <v>1</v>
      </c>
      <c r="G239" s="265">
        <v>1</v>
      </c>
      <c r="H239" s="265">
        <v>0</v>
      </c>
      <c r="I239" s="266">
        <v>374288.96923828102</v>
      </c>
      <c r="J239" s="265" t="s">
        <v>641</v>
      </c>
      <c r="K239" s="265" t="s">
        <v>642</v>
      </c>
      <c r="L239" s="265" t="s">
        <v>63</v>
      </c>
      <c r="M239" s="265" t="s">
        <v>64</v>
      </c>
      <c r="N239" s="265" t="s">
        <v>728</v>
      </c>
      <c r="O239" s="265" t="s">
        <v>11</v>
      </c>
    </row>
    <row r="240" spans="1:15" s="218" customFormat="1" x14ac:dyDescent="0.25">
      <c r="A240" s="265">
        <v>3</v>
      </c>
      <c r="B240" s="265">
        <v>3</v>
      </c>
      <c r="C240" s="265" t="s">
        <v>1122</v>
      </c>
      <c r="D240" s="265">
        <v>6</v>
      </c>
      <c r="E240" s="265" t="s">
        <v>765</v>
      </c>
      <c r="F240" s="265">
        <v>1</v>
      </c>
      <c r="G240" s="265">
        <v>1</v>
      </c>
      <c r="H240" s="265">
        <v>0</v>
      </c>
      <c r="I240" s="266">
        <v>92203.758300781206</v>
      </c>
      <c r="J240" s="265" t="s">
        <v>399</v>
      </c>
      <c r="K240" s="265" t="s">
        <v>400</v>
      </c>
      <c r="L240" s="265" t="s">
        <v>63</v>
      </c>
      <c r="M240" s="265" t="s">
        <v>64</v>
      </c>
      <c r="N240" s="265" t="s">
        <v>728</v>
      </c>
      <c r="O240" s="265" t="s">
        <v>11</v>
      </c>
    </row>
    <row r="241" spans="1:15" s="264" customFormat="1" x14ac:dyDescent="0.25">
      <c r="A241" s="262">
        <v>3</v>
      </c>
      <c r="B241" s="262">
        <v>3</v>
      </c>
      <c r="C241" s="262" t="s">
        <v>1122</v>
      </c>
      <c r="D241" s="262">
        <v>6</v>
      </c>
      <c r="E241" s="262" t="s">
        <v>765</v>
      </c>
      <c r="F241" s="262">
        <v>1</v>
      </c>
      <c r="G241" s="262">
        <v>1</v>
      </c>
      <c r="H241" s="262">
        <v>0</v>
      </c>
      <c r="I241" s="263">
        <v>17231.5703125</v>
      </c>
      <c r="J241" s="262" t="s">
        <v>339</v>
      </c>
      <c r="K241" s="262" t="s">
        <v>340</v>
      </c>
      <c r="L241" s="262" t="s">
        <v>24</v>
      </c>
      <c r="M241" s="262" t="s">
        <v>735</v>
      </c>
      <c r="N241" s="262" t="s">
        <v>727</v>
      </c>
      <c r="O241" s="262" t="s">
        <v>11</v>
      </c>
    </row>
    <row r="242" spans="1:15" s="129" customFormat="1" x14ac:dyDescent="0.25">
      <c r="A242" s="130">
        <v>3</v>
      </c>
      <c r="B242" s="130">
        <v>3</v>
      </c>
      <c r="C242" s="130" t="s">
        <v>1122</v>
      </c>
      <c r="D242" s="130">
        <v>6</v>
      </c>
      <c r="E242" s="130" t="s">
        <v>765</v>
      </c>
      <c r="F242" s="130">
        <v>1</v>
      </c>
      <c r="G242" s="130">
        <v>1</v>
      </c>
      <c r="H242" s="130">
        <v>0</v>
      </c>
      <c r="I242" s="131">
        <v>273700.97216796799</v>
      </c>
      <c r="J242" s="130" t="s">
        <v>345</v>
      </c>
      <c r="K242" s="130" t="s">
        <v>346</v>
      </c>
      <c r="L242" s="130" t="s">
        <v>30</v>
      </c>
      <c r="M242" s="130" t="s">
        <v>732</v>
      </c>
      <c r="N242" s="130" t="s">
        <v>15</v>
      </c>
      <c r="O242" s="130" t="s">
        <v>11</v>
      </c>
    </row>
    <row r="243" spans="1:15" s="218" customFormat="1" x14ac:dyDescent="0.25">
      <c r="A243" s="265">
        <v>3</v>
      </c>
      <c r="B243" s="265">
        <v>3</v>
      </c>
      <c r="C243" s="265" t="s">
        <v>1122</v>
      </c>
      <c r="D243" s="265">
        <v>6</v>
      </c>
      <c r="E243" s="265" t="s">
        <v>765</v>
      </c>
      <c r="F243" s="265">
        <v>1</v>
      </c>
      <c r="G243" s="265">
        <v>1</v>
      </c>
      <c r="H243" s="265">
        <v>0</v>
      </c>
      <c r="I243" s="266">
        <v>312410.611328125</v>
      </c>
      <c r="J243" s="265" t="s">
        <v>345</v>
      </c>
      <c r="K243" s="265" t="s">
        <v>346</v>
      </c>
      <c r="L243" s="265" t="s">
        <v>30</v>
      </c>
      <c r="M243" s="265" t="s">
        <v>732</v>
      </c>
      <c r="N243" s="265" t="s">
        <v>728</v>
      </c>
      <c r="O243" s="265" t="s">
        <v>11</v>
      </c>
    </row>
    <row r="244" spans="1:15" s="264" customFormat="1" x14ac:dyDescent="0.25">
      <c r="A244" s="262">
        <v>3</v>
      </c>
      <c r="B244" s="262">
        <v>3</v>
      </c>
      <c r="C244" s="262" t="s">
        <v>1122</v>
      </c>
      <c r="D244" s="262">
        <v>6</v>
      </c>
      <c r="E244" s="262" t="s">
        <v>765</v>
      </c>
      <c r="F244" s="262">
        <v>1</v>
      </c>
      <c r="G244" s="262">
        <v>1</v>
      </c>
      <c r="H244" s="262">
        <v>0</v>
      </c>
      <c r="I244" s="263">
        <v>71943.283203125</v>
      </c>
      <c r="J244" s="262" t="s">
        <v>569</v>
      </c>
      <c r="K244" s="262" t="s">
        <v>570</v>
      </c>
      <c r="L244" s="262" t="s">
        <v>24</v>
      </c>
      <c r="M244" s="262" t="s">
        <v>735</v>
      </c>
      <c r="N244" s="262" t="s">
        <v>727</v>
      </c>
      <c r="O244" s="262" t="s">
        <v>11</v>
      </c>
    </row>
    <row r="245" spans="1:15" s="264" customFormat="1" x14ac:dyDescent="0.25">
      <c r="A245" s="262">
        <v>3</v>
      </c>
      <c r="B245" s="262">
        <v>3</v>
      </c>
      <c r="C245" s="262" t="s">
        <v>1122</v>
      </c>
      <c r="D245" s="262">
        <v>6</v>
      </c>
      <c r="E245" s="262" t="s">
        <v>765</v>
      </c>
      <c r="F245" s="262">
        <v>1</v>
      </c>
      <c r="G245" s="262">
        <v>1</v>
      </c>
      <c r="H245" s="262">
        <v>0</v>
      </c>
      <c r="I245" s="263">
        <v>226480.38330078099</v>
      </c>
      <c r="J245" s="262" t="s">
        <v>106</v>
      </c>
      <c r="K245" s="262" t="s">
        <v>107</v>
      </c>
      <c r="L245" s="262" t="s">
        <v>30</v>
      </c>
      <c r="M245" s="262" t="s">
        <v>732</v>
      </c>
      <c r="N245" s="262" t="s">
        <v>727</v>
      </c>
      <c r="O245" s="262" t="s">
        <v>11</v>
      </c>
    </row>
    <row r="246" spans="1:15" s="218" customFormat="1" x14ac:dyDescent="0.25">
      <c r="A246" s="265">
        <v>3</v>
      </c>
      <c r="B246" s="265">
        <v>3</v>
      </c>
      <c r="C246" s="265" t="s">
        <v>1122</v>
      </c>
      <c r="D246" s="265">
        <v>6</v>
      </c>
      <c r="E246" s="265" t="s">
        <v>765</v>
      </c>
      <c r="F246" s="265">
        <v>1</v>
      </c>
      <c r="G246" s="265">
        <v>1</v>
      </c>
      <c r="H246" s="265">
        <v>0</v>
      </c>
      <c r="I246" s="266">
        <v>378641.78515625</v>
      </c>
      <c r="J246" s="265" t="s">
        <v>151</v>
      </c>
      <c r="K246" s="265" t="s">
        <v>152</v>
      </c>
      <c r="L246" s="265" t="s">
        <v>24</v>
      </c>
      <c r="M246" s="265" t="s">
        <v>735</v>
      </c>
      <c r="N246" s="265" t="s">
        <v>728</v>
      </c>
      <c r="O246" s="265" t="s">
        <v>11</v>
      </c>
    </row>
    <row r="247" spans="1:15" s="218" customFormat="1" x14ac:dyDescent="0.25">
      <c r="A247" s="265">
        <v>3</v>
      </c>
      <c r="B247" s="265">
        <v>3</v>
      </c>
      <c r="C247" s="265" t="s">
        <v>1122</v>
      </c>
      <c r="D247" s="265">
        <v>6</v>
      </c>
      <c r="E247" s="265" t="s">
        <v>765</v>
      </c>
      <c r="F247" s="265">
        <v>1</v>
      </c>
      <c r="G247" s="265">
        <v>1</v>
      </c>
      <c r="H247" s="265">
        <v>0</v>
      </c>
      <c r="I247" s="266">
        <v>70034.984863281206</v>
      </c>
      <c r="J247" s="265" t="s">
        <v>657</v>
      </c>
      <c r="K247" s="265" t="s">
        <v>658</v>
      </c>
      <c r="L247" s="265" t="s">
        <v>63</v>
      </c>
      <c r="M247" s="265" t="s">
        <v>64</v>
      </c>
      <c r="N247" s="265" t="s">
        <v>728</v>
      </c>
      <c r="O247" s="265" t="s">
        <v>11</v>
      </c>
    </row>
    <row r="248" spans="1:15" s="129" customFormat="1" x14ac:dyDescent="0.25">
      <c r="A248" s="130">
        <v>3</v>
      </c>
      <c r="B248" s="130">
        <v>3</v>
      </c>
      <c r="C248" s="130" t="s">
        <v>1122</v>
      </c>
      <c r="D248" s="130">
        <v>6</v>
      </c>
      <c r="E248" s="130" t="s">
        <v>765</v>
      </c>
      <c r="F248" s="130">
        <v>1</v>
      </c>
      <c r="G248" s="130">
        <v>1</v>
      </c>
      <c r="H248" s="130">
        <v>0</v>
      </c>
      <c r="I248" s="131">
        <v>1681396.7807617099</v>
      </c>
      <c r="J248" s="130" t="s">
        <v>645</v>
      </c>
      <c r="K248" s="130" t="s">
        <v>646</v>
      </c>
      <c r="L248" s="130" t="s">
        <v>63</v>
      </c>
      <c r="M248" s="130" t="s">
        <v>64</v>
      </c>
      <c r="N248" s="130" t="s">
        <v>15</v>
      </c>
      <c r="O248" s="130" t="s">
        <v>11</v>
      </c>
    </row>
    <row r="249" spans="1:15" s="129" customFormat="1" x14ac:dyDescent="0.25">
      <c r="A249" s="130">
        <v>3</v>
      </c>
      <c r="B249" s="130">
        <v>3</v>
      </c>
      <c r="C249" s="130" t="s">
        <v>1122</v>
      </c>
      <c r="D249" s="130">
        <v>6</v>
      </c>
      <c r="E249" s="130" t="s">
        <v>765</v>
      </c>
      <c r="F249" s="130">
        <v>1</v>
      </c>
      <c r="G249" s="130">
        <v>1</v>
      </c>
      <c r="H249" s="130">
        <v>0</v>
      </c>
      <c r="I249" s="131">
        <v>176369.55810546799</v>
      </c>
      <c r="J249" s="130" t="s">
        <v>643</v>
      </c>
      <c r="K249" s="130" t="s">
        <v>644</v>
      </c>
      <c r="L249" s="130" t="s">
        <v>63</v>
      </c>
      <c r="M249" s="130" t="s">
        <v>64</v>
      </c>
      <c r="N249" s="130" t="s">
        <v>15</v>
      </c>
      <c r="O249" s="130" t="s">
        <v>11</v>
      </c>
    </row>
    <row r="250" spans="1:15" s="28" customFormat="1" x14ac:dyDescent="0.25">
      <c r="A250" s="86">
        <v>3</v>
      </c>
      <c r="B250" s="86">
        <v>3</v>
      </c>
      <c r="C250" s="86" t="s">
        <v>1122</v>
      </c>
      <c r="D250" s="86">
        <v>6</v>
      </c>
      <c r="E250" s="86" t="s">
        <v>765</v>
      </c>
      <c r="F250" s="86">
        <v>1</v>
      </c>
      <c r="G250" s="86">
        <v>1</v>
      </c>
      <c r="H250" s="86">
        <v>0</v>
      </c>
      <c r="I250" s="87">
        <v>746.095703125</v>
      </c>
      <c r="J250" s="86" t="s">
        <v>724</v>
      </c>
      <c r="K250" s="86" t="s">
        <v>725</v>
      </c>
      <c r="L250" s="86" t="s">
        <v>63</v>
      </c>
      <c r="M250" s="86" t="s">
        <v>64</v>
      </c>
      <c r="N250" s="86" t="s">
        <v>726</v>
      </c>
      <c r="O250" s="86" t="s">
        <v>35</v>
      </c>
    </row>
    <row r="251" spans="1:15" s="129" customFormat="1" x14ac:dyDescent="0.25">
      <c r="A251" s="130">
        <v>4</v>
      </c>
      <c r="B251" s="130">
        <v>4</v>
      </c>
      <c r="C251" s="130" t="s">
        <v>880</v>
      </c>
      <c r="D251" s="130">
        <v>1</v>
      </c>
      <c r="E251" s="130" t="s">
        <v>754</v>
      </c>
      <c r="F251" s="130">
        <v>1</v>
      </c>
      <c r="G251" s="130">
        <v>1</v>
      </c>
      <c r="H251" s="130">
        <v>1</v>
      </c>
      <c r="I251" s="131">
        <v>545679.01318359305</v>
      </c>
      <c r="J251" s="130" t="s">
        <v>16</v>
      </c>
      <c r="K251" s="130" t="s">
        <v>17</v>
      </c>
      <c r="L251" s="130" t="s">
        <v>18</v>
      </c>
      <c r="M251" s="130" t="s">
        <v>19</v>
      </c>
      <c r="N251" s="130" t="s">
        <v>15</v>
      </c>
      <c r="O251" s="130" t="s">
        <v>11</v>
      </c>
    </row>
    <row r="252" spans="1:15" s="129" customFormat="1" x14ac:dyDescent="0.25">
      <c r="A252" s="130">
        <v>4</v>
      </c>
      <c r="B252" s="130">
        <v>4</v>
      </c>
      <c r="C252" s="130" t="s">
        <v>880</v>
      </c>
      <c r="D252" s="130">
        <v>1</v>
      </c>
      <c r="E252" s="130" t="s">
        <v>754</v>
      </c>
      <c r="F252" s="130">
        <v>1</v>
      </c>
      <c r="G252" s="130">
        <v>1</v>
      </c>
      <c r="H252" s="130">
        <v>1</v>
      </c>
      <c r="I252" s="131">
        <v>2827385.9296875</v>
      </c>
      <c r="J252" s="130" t="s">
        <v>20</v>
      </c>
      <c r="K252" s="130" t="s">
        <v>21</v>
      </c>
      <c r="L252" s="130" t="s">
        <v>18</v>
      </c>
      <c r="M252" s="130" t="s">
        <v>19</v>
      </c>
      <c r="N252" s="130" t="s">
        <v>15</v>
      </c>
      <c r="O252" s="130" t="s">
        <v>11</v>
      </c>
    </row>
    <row r="253" spans="1:15" s="129" customFormat="1" x14ac:dyDescent="0.25">
      <c r="A253" s="130">
        <v>4</v>
      </c>
      <c r="B253" s="130">
        <v>4</v>
      </c>
      <c r="C253" s="130" t="s">
        <v>880</v>
      </c>
      <c r="D253" s="130">
        <v>1</v>
      </c>
      <c r="E253" s="130" t="s">
        <v>754</v>
      </c>
      <c r="F253" s="130">
        <v>1</v>
      </c>
      <c r="G253" s="130">
        <v>1</v>
      </c>
      <c r="H253" s="130">
        <v>1</v>
      </c>
      <c r="I253" s="131">
        <v>1208584.8051757801</v>
      </c>
      <c r="J253" s="130" t="s">
        <v>28</v>
      </c>
      <c r="K253" s="130" t="s">
        <v>29</v>
      </c>
      <c r="L253" s="130" t="s">
        <v>30</v>
      </c>
      <c r="M253" s="130" t="s">
        <v>732</v>
      </c>
      <c r="N253" s="130" t="s">
        <v>15</v>
      </c>
      <c r="O253" s="130" t="s">
        <v>11</v>
      </c>
    </row>
    <row r="254" spans="1:15" s="264" customFormat="1" x14ac:dyDescent="0.25">
      <c r="A254" s="262">
        <v>4</v>
      </c>
      <c r="B254" s="262">
        <v>4</v>
      </c>
      <c r="C254" s="262" t="s">
        <v>880</v>
      </c>
      <c r="D254" s="262">
        <v>1</v>
      </c>
      <c r="E254" s="262" t="s">
        <v>754</v>
      </c>
      <c r="F254" s="262">
        <v>1</v>
      </c>
      <c r="G254" s="262">
        <v>1</v>
      </c>
      <c r="H254" s="262">
        <v>1</v>
      </c>
      <c r="I254" s="263">
        <v>314954.47363281198</v>
      </c>
      <c r="J254" s="262" t="s">
        <v>40</v>
      </c>
      <c r="K254" s="262" t="s">
        <v>41</v>
      </c>
      <c r="L254" s="262" t="s">
        <v>30</v>
      </c>
      <c r="M254" s="262" t="s">
        <v>732</v>
      </c>
      <c r="N254" s="262" t="s">
        <v>727</v>
      </c>
      <c r="O254" s="262" t="s">
        <v>11</v>
      </c>
    </row>
    <row r="255" spans="1:15" s="129" customFormat="1" x14ac:dyDescent="0.25">
      <c r="A255" s="130">
        <v>4</v>
      </c>
      <c r="B255" s="130">
        <v>4</v>
      </c>
      <c r="C255" s="130" t="s">
        <v>880</v>
      </c>
      <c r="D255" s="130">
        <v>1</v>
      </c>
      <c r="E255" s="130" t="s">
        <v>754</v>
      </c>
      <c r="F255" s="130">
        <v>1</v>
      </c>
      <c r="G255" s="130">
        <v>1</v>
      </c>
      <c r="H255" s="130">
        <v>1</v>
      </c>
      <c r="I255" s="131">
        <v>141910.50390625</v>
      </c>
      <c r="J255" s="130" t="s">
        <v>47</v>
      </c>
      <c r="K255" s="130" t="s">
        <v>48</v>
      </c>
      <c r="L255" s="130" t="s">
        <v>30</v>
      </c>
      <c r="M255" s="130" t="s">
        <v>732</v>
      </c>
      <c r="N255" s="130" t="s">
        <v>15</v>
      </c>
      <c r="O255" s="130" t="s">
        <v>11</v>
      </c>
    </row>
    <row r="256" spans="1:15" s="129" customFormat="1" x14ac:dyDescent="0.25">
      <c r="A256" s="130">
        <v>4</v>
      </c>
      <c r="B256" s="130">
        <v>4</v>
      </c>
      <c r="C256" s="130" t="s">
        <v>880</v>
      </c>
      <c r="D256" s="130">
        <v>1</v>
      </c>
      <c r="E256" s="130" t="s">
        <v>754</v>
      </c>
      <c r="F256" s="130">
        <v>1</v>
      </c>
      <c r="G256" s="130">
        <v>1</v>
      </c>
      <c r="H256" s="130">
        <v>1</v>
      </c>
      <c r="I256" s="131">
        <v>268198.23388671799</v>
      </c>
      <c r="J256" s="130" t="s">
        <v>49</v>
      </c>
      <c r="K256" s="130" t="s">
        <v>50</v>
      </c>
      <c r="L256" s="130" t="s">
        <v>30</v>
      </c>
      <c r="M256" s="130" t="s">
        <v>732</v>
      </c>
      <c r="N256" s="130" t="s">
        <v>15</v>
      </c>
      <c r="O256" s="130" t="s">
        <v>11</v>
      </c>
    </row>
    <row r="257" spans="1:15" s="264" customFormat="1" x14ac:dyDescent="0.25">
      <c r="A257" s="262">
        <v>4</v>
      </c>
      <c r="B257" s="262">
        <v>4</v>
      </c>
      <c r="C257" s="262" t="s">
        <v>880</v>
      </c>
      <c r="D257" s="262">
        <v>1</v>
      </c>
      <c r="E257" s="262" t="s">
        <v>754</v>
      </c>
      <c r="F257" s="262">
        <v>1</v>
      </c>
      <c r="G257" s="262">
        <v>1</v>
      </c>
      <c r="H257" s="262">
        <v>1</v>
      </c>
      <c r="I257" s="263">
        <v>257924.408203125</v>
      </c>
      <c r="J257" s="262" t="s">
        <v>20</v>
      </c>
      <c r="K257" s="262" t="s">
        <v>21</v>
      </c>
      <c r="L257" s="262" t="s">
        <v>18</v>
      </c>
      <c r="M257" s="262" t="s">
        <v>19</v>
      </c>
      <c r="N257" s="262" t="s">
        <v>727</v>
      </c>
      <c r="O257" s="262" t="s">
        <v>11</v>
      </c>
    </row>
    <row r="258" spans="1:15" s="264" customFormat="1" x14ac:dyDescent="0.25">
      <c r="A258" s="262">
        <v>4</v>
      </c>
      <c r="B258" s="262">
        <v>4</v>
      </c>
      <c r="C258" s="262" t="s">
        <v>880</v>
      </c>
      <c r="D258" s="262">
        <v>1</v>
      </c>
      <c r="E258" s="262" t="s">
        <v>754</v>
      </c>
      <c r="F258" s="262">
        <v>1</v>
      </c>
      <c r="G258" s="262">
        <v>1</v>
      </c>
      <c r="H258" s="262">
        <v>1</v>
      </c>
      <c r="I258" s="263">
        <v>16272.8818359375</v>
      </c>
      <c r="J258" s="262" t="s">
        <v>53</v>
      </c>
      <c r="K258" s="262" t="s">
        <v>54</v>
      </c>
      <c r="L258" s="262" t="s">
        <v>30</v>
      </c>
      <c r="M258" s="262" t="s">
        <v>732</v>
      </c>
      <c r="N258" s="262" t="s">
        <v>727</v>
      </c>
      <c r="O258" s="262" t="s">
        <v>11</v>
      </c>
    </row>
    <row r="259" spans="1:15" s="218" customFormat="1" x14ac:dyDescent="0.25">
      <c r="A259" s="265">
        <v>4</v>
      </c>
      <c r="B259" s="265">
        <v>4</v>
      </c>
      <c r="C259" s="265" t="s">
        <v>880</v>
      </c>
      <c r="D259" s="265">
        <v>1</v>
      </c>
      <c r="E259" s="265" t="s">
        <v>754</v>
      </c>
      <c r="F259" s="265">
        <v>1</v>
      </c>
      <c r="G259" s="265">
        <v>1</v>
      </c>
      <c r="H259" s="265">
        <v>1</v>
      </c>
      <c r="I259" s="266">
        <v>1042622.26513671</v>
      </c>
      <c r="J259" s="265" t="s">
        <v>55</v>
      </c>
      <c r="K259" s="265" t="s">
        <v>56</v>
      </c>
      <c r="L259" s="265" t="s">
        <v>14</v>
      </c>
      <c r="M259" s="265" t="s">
        <v>740</v>
      </c>
      <c r="N259" s="265" t="s">
        <v>728</v>
      </c>
      <c r="O259" s="265" t="s">
        <v>11</v>
      </c>
    </row>
    <row r="260" spans="1:15" s="264" customFormat="1" x14ac:dyDescent="0.25">
      <c r="A260" s="262">
        <v>4</v>
      </c>
      <c r="B260" s="262">
        <v>4</v>
      </c>
      <c r="C260" s="262" t="s">
        <v>880</v>
      </c>
      <c r="D260" s="262">
        <v>1</v>
      </c>
      <c r="E260" s="262" t="s">
        <v>754</v>
      </c>
      <c r="F260" s="262">
        <v>1</v>
      </c>
      <c r="G260" s="262">
        <v>1</v>
      </c>
      <c r="H260" s="262">
        <v>1</v>
      </c>
      <c r="I260" s="263">
        <v>299864.64550781198</v>
      </c>
      <c r="J260" s="262" t="s">
        <v>67</v>
      </c>
      <c r="K260" s="262" t="s">
        <v>68</v>
      </c>
      <c r="L260" s="262" t="s">
        <v>30</v>
      </c>
      <c r="M260" s="262" t="s">
        <v>732</v>
      </c>
      <c r="N260" s="262" t="s">
        <v>727</v>
      </c>
      <c r="O260" s="262" t="s">
        <v>11</v>
      </c>
    </row>
    <row r="261" spans="1:15" s="264" customFormat="1" x14ac:dyDescent="0.25">
      <c r="A261" s="262">
        <v>4</v>
      </c>
      <c r="B261" s="262">
        <v>4</v>
      </c>
      <c r="C261" s="262" t="s">
        <v>880</v>
      </c>
      <c r="D261" s="262">
        <v>1</v>
      </c>
      <c r="E261" s="262" t="s">
        <v>754</v>
      </c>
      <c r="F261" s="262">
        <v>1</v>
      </c>
      <c r="G261" s="262">
        <v>1</v>
      </c>
      <c r="H261" s="262">
        <v>1</v>
      </c>
      <c r="I261" s="263">
        <v>357055.38525390602</v>
      </c>
      <c r="J261" s="262" t="s">
        <v>16</v>
      </c>
      <c r="K261" s="262" t="s">
        <v>17</v>
      </c>
      <c r="L261" s="262" t="s">
        <v>18</v>
      </c>
      <c r="M261" s="262" t="s">
        <v>19</v>
      </c>
      <c r="N261" s="262" t="s">
        <v>727</v>
      </c>
      <c r="O261" s="262" t="s">
        <v>11</v>
      </c>
    </row>
    <row r="262" spans="1:15" s="218" customFormat="1" x14ac:dyDescent="0.25">
      <c r="A262" s="265">
        <v>4</v>
      </c>
      <c r="B262" s="265">
        <v>4</v>
      </c>
      <c r="C262" s="265" t="s">
        <v>880</v>
      </c>
      <c r="D262" s="265">
        <v>1</v>
      </c>
      <c r="E262" s="265" t="s">
        <v>754</v>
      </c>
      <c r="F262" s="265">
        <v>1</v>
      </c>
      <c r="G262" s="265">
        <v>1</v>
      </c>
      <c r="H262" s="265">
        <v>1</v>
      </c>
      <c r="I262" s="266">
        <v>1130583.7290039</v>
      </c>
      <c r="J262" s="265" t="s">
        <v>78</v>
      </c>
      <c r="K262" s="265" t="s">
        <v>79</v>
      </c>
      <c r="L262" s="265" t="s">
        <v>80</v>
      </c>
      <c r="M262" s="265" t="s">
        <v>733</v>
      </c>
      <c r="N262" s="265" t="s">
        <v>728</v>
      </c>
      <c r="O262" s="265" t="s">
        <v>11</v>
      </c>
    </row>
    <row r="263" spans="1:15" s="264" customFormat="1" x14ac:dyDescent="0.25">
      <c r="A263" s="262">
        <v>4</v>
      </c>
      <c r="B263" s="262">
        <v>4</v>
      </c>
      <c r="C263" s="262" t="s">
        <v>880</v>
      </c>
      <c r="D263" s="262">
        <v>1</v>
      </c>
      <c r="E263" s="262" t="s">
        <v>754</v>
      </c>
      <c r="F263" s="262">
        <v>1</v>
      </c>
      <c r="G263" s="262">
        <v>1</v>
      </c>
      <c r="H263" s="262">
        <v>1</v>
      </c>
      <c r="I263" s="263">
        <v>325156.17871093698</v>
      </c>
      <c r="J263" s="262" t="s">
        <v>85</v>
      </c>
      <c r="K263" s="262" t="s">
        <v>86</v>
      </c>
      <c r="L263" s="262" t="s">
        <v>18</v>
      </c>
      <c r="M263" s="262" t="s">
        <v>19</v>
      </c>
      <c r="N263" s="262" t="s">
        <v>727</v>
      </c>
      <c r="O263" s="262" t="s">
        <v>11</v>
      </c>
    </row>
    <row r="264" spans="1:15" s="218" customFormat="1" x14ac:dyDescent="0.25">
      <c r="A264" s="265">
        <v>4</v>
      </c>
      <c r="B264" s="265">
        <v>4</v>
      </c>
      <c r="C264" s="265" t="s">
        <v>880</v>
      </c>
      <c r="D264" s="265">
        <v>1</v>
      </c>
      <c r="E264" s="265" t="s">
        <v>754</v>
      </c>
      <c r="F264" s="265">
        <v>1</v>
      </c>
      <c r="G264" s="265">
        <v>1</v>
      </c>
      <c r="H264" s="265">
        <v>1</v>
      </c>
      <c r="I264" s="266">
        <v>1220116.1894531201</v>
      </c>
      <c r="J264" s="265" t="s">
        <v>89</v>
      </c>
      <c r="K264" s="265" t="s">
        <v>90</v>
      </c>
      <c r="L264" s="265" t="s">
        <v>14</v>
      </c>
      <c r="M264" s="265" t="s">
        <v>740</v>
      </c>
      <c r="N264" s="265" t="s">
        <v>728</v>
      </c>
      <c r="O264" s="265" t="s">
        <v>11</v>
      </c>
    </row>
    <row r="265" spans="1:15" s="218" customFormat="1" x14ac:dyDescent="0.25">
      <c r="A265" s="265">
        <v>4</v>
      </c>
      <c r="B265" s="265">
        <v>4</v>
      </c>
      <c r="C265" s="265" t="s">
        <v>880</v>
      </c>
      <c r="D265" s="265">
        <v>1</v>
      </c>
      <c r="E265" s="265" t="s">
        <v>754</v>
      </c>
      <c r="F265" s="265">
        <v>1</v>
      </c>
      <c r="G265" s="265">
        <v>1</v>
      </c>
      <c r="H265" s="265">
        <v>1</v>
      </c>
      <c r="I265" s="266">
        <v>744890.22216796805</v>
      </c>
      <c r="J265" s="265" t="s">
        <v>85</v>
      </c>
      <c r="K265" s="265" t="s">
        <v>86</v>
      </c>
      <c r="L265" s="265" t="s">
        <v>18</v>
      </c>
      <c r="M265" s="265" t="s">
        <v>19</v>
      </c>
      <c r="N265" s="265" t="s">
        <v>728</v>
      </c>
      <c r="O265" s="265" t="s">
        <v>11</v>
      </c>
    </row>
    <row r="266" spans="1:15" s="129" customFormat="1" x14ac:dyDescent="0.25">
      <c r="A266" s="130">
        <v>4</v>
      </c>
      <c r="B266" s="130">
        <v>4</v>
      </c>
      <c r="C266" s="130" t="s">
        <v>880</v>
      </c>
      <c r="D266" s="130">
        <v>1</v>
      </c>
      <c r="E266" s="130" t="s">
        <v>754</v>
      </c>
      <c r="F266" s="130">
        <v>1</v>
      </c>
      <c r="G266" s="130">
        <v>1</v>
      </c>
      <c r="H266" s="130">
        <v>1</v>
      </c>
      <c r="I266" s="131">
        <v>1974501.8759765599</v>
      </c>
      <c r="J266" s="130" t="s">
        <v>93</v>
      </c>
      <c r="K266" s="130" t="s">
        <v>94</v>
      </c>
      <c r="L266" s="130" t="s">
        <v>30</v>
      </c>
      <c r="M266" s="130" t="s">
        <v>732</v>
      </c>
      <c r="N266" s="130" t="s">
        <v>15</v>
      </c>
      <c r="O266" s="130" t="s">
        <v>11</v>
      </c>
    </row>
    <row r="267" spans="1:15" s="264" customFormat="1" x14ac:dyDescent="0.25">
      <c r="A267" s="262">
        <v>4</v>
      </c>
      <c r="B267" s="262">
        <v>4</v>
      </c>
      <c r="C267" s="262" t="s">
        <v>880</v>
      </c>
      <c r="D267" s="262">
        <v>1</v>
      </c>
      <c r="E267" s="262" t="s">
        <v>754</v>
      </c>
      <c r="F267" s="262">
        <v>1</v>
      </c>
      <c r="G267" s="262">
        <v>1</v>
      </c>
      <c r="H267" s="262">
        <v>1</v>
      </c>
      <c r="I267" s="263">
        <v>11638.3916015625</v>
      </c>
      <c r="J267" s="262" t="s">
        <v>95</v>
      </c>
      <c r="K267" s="262" t="s">
        <v>96</v>
      </c>
      <c r="L267" s="262" t="s">
        <v>30</v>
      </c>
      <c r="M267" s="262" t="s">
        <v>732</v>
      </c>
      <c r="N267" s="262" t="s">
        <v>727</v>
      </c>
      <c r="O267" s="262" t="s">
        <v>11</v>
      </c>
    </row>
    <row r="268" spans="1:15" s="218" customFormat="1" x14ac:dyDescent="0.25">
      <c r="A268" s="265">
        <v>4</v>
      </c>
      <c r="B268" s="265">
        <v>4</v>
      </c>
      <c r="C268" s="265" t="s">
        <v>880</v>
      </c>
      <c r="D268" s="265">
        <v>1</v>
      </c>
      <c r="E268" s="265" t="s">
        <v>754</v>
      </c>
      <c r="F268" s="265">
        <v>1</v>
      </c>
      <c r="G268" s="265">
        <v>1</v>
      </c>
      <c r="H268" s="265">
        <v>1</v>
      </c>
      <c r="I268" s="266">
        <v>124352.06640625</v>
      </c>
      <c r="J268" s="265" t="s">
        <v>99</v>
      </c>
      <c r="K268" s="265" t="s">
        <v>100</v>
      </c>
      <c r="L268" s="265" t="s">
        <v>18</v>
      </c>
      <c r="M268" s="265" t="s">
        <v>19</v>
      </c>
      <c r="N268" s="265" t="s">
        <v>728</v>
      </c>
      <c r="O268" s="265" t="s">
        <v>11</v>
      </c>
    </row>
    <row r="269" spans="1:15" s="264" customFormat="1" x14ac:dyDescent="0.25">
      <c r="A269" s="262">
        <v>4</v>
      </c>
      <c r="B269" s="262">
        <v>4</v>
      </c>
      <c r="C269" s="262" t="s">
        <v>880</v>
      </c>
      <c r="D269" s="262">
        <v>1</v>
      </c>
      <c r="E269" s="262" t="s">
        <v>754</v>
      </c>
      <c r="F269" s="262">
        <v>1</v>
      </c>
      <c r="G269" s="262">
        <v>1</v>
      </c>
      <c r="H269" s="262">
        <v>1</v>
      </c>
      <c r="I269" s="263">
        <v>2022881.3378906201</v>
      </c>
      <c r="J269" s="262" t="s">
        <v>108</v>
      </c>
      <c r="K269" s="262" t="s">
        <v>109</v>
      </c>
      <c r="L269" s="262" t="s">
        <v>18</v>
      </c>
      <c r="M269" s="262" t="s">
        <v>19</v>
      </c>
      <c r="N269" s="262" t="s">
        <v>727</v>
      </c>
      <c r="O269" s="262" t="s">
        <v>11</v>
      </c>
    </row>
    <row r="270" spans="1:15" s="264" customFormat="1" x14ac:dyDescent="0.25">
      <c r="A270" s="262">
        <v>4</v>
      </c>
      <c r="B270" s="262">
        <v>4</v>
      </c>
      <c r="C270" s="262" t="s">
        <v>880</v>
      </c>
      <c r="D270" s="262">
        <v>1</v>
      </c>
      <c r="E270" s="262" t="s">
        <v>754</v>
      </c>
      <c r="F270" s="262">
        <v>1</v>
      </c>
      <c r="G270" s="262">
        <v>1</v>
      </c>
      <c r="H270" s="262">
        <v>1</v>
      </c>
      <c r="I270" s="263">
        <v>5227.26220703125</v>
      </c>
      <c r="J270" s="262" t="s">
        <v>55</v>
      </c>
      <c r="K270" s="262" t="s">
        <v>56</v>
      </c>
      <c r="L270" s="262" t="s">
        <v>14</v>
      </c>
      <c r="M270" s="262" t="s">
        <v>740</v>
      </c>
      <c r="N270" s="262" t="s">
        <v>727</v>
      </c>
      <c r="O270" s="262" t="s">
        <v>11</v>
      </c>
    </row>
    <row r="271" spans="1:15" s="264" customFormat="1" x14ac:dyDescent="0.25">
      <c r="A271" s="262">
        <v>4</v>
      </c>
      <c r="B271" s="262">
        <v>4</v>
      </c>
      <c r="C271" s="262" t="s">
        <v>880</v>
      </c>
      <c r="D271" s="262">
        <v>1</v>
      </c>
      <c r="E271" s="262" t="s">
        <v>754</v>
      </c>
      <c r="F271" s="262">
        <v>1</v>
      </c>
      <c r="G271" s="262">
        <v>1</v>
      </c>
      <c r="H271" s="262">
        <v>1</v>
      </c>
      <c r="I271" s="263">
        <v>15503.241699218701</v>
      </c>
      <c r="J271" s="262" t="s">
        <v>47</v>
      </c>
      <c r="K271" s="262" t="s">
        <v>48</v>
      </c>
      <c r="L271" s="262" t="s">
        <v>30</v>
      </c>
      <c r="M271" s="262" t="s">
        <v>732</v>
      </c>
      <c r="N271" s="262" t="s">
        <v>727</v>
      </c>
      <c r="O271" s="262" t="s">
        <v>11</v>
      </c>
    </row>
    <row r="272" spans="1:15" s="264" customFormat="1" x14ac:dyDescent="0.25">
      <c r="A272" s="262">
        <v>4</v>
      </c>
      <c r="B272" s="262">
        <v>4</v>
      </c>
      <c r="C272" s="262" t="s">
        <v>880</v>
      </c>
      <c r="D272" s="262">
        <v>1</v>
      </c>
      <c r="E272" s="262" t="s">
        <v>754</v>
      </c>
      <c r="F272" s="262">
        <v>1</v>
      </c>
      <c r="G272" s="262">
        <v>1</v>
      </c>
      <c r="H272" s="262">
        <v>1</v>
      </c>
      <c r="I272" s="263">
        <v>89603.837890625</v>
      </c>
      <c r="J272" s="262" t="s">
        <v>116</v>
      </c>
      <c r="K272" s="262" t="s">
        <v>117</v>
      </c>
      <c r="L272" s="262" t="s">
        <v>80</v>
      </c>
      <c r="M272" s="262" t="s">
        <v>733</v>
      </c>
      <c r="N272" s="262" t="s">
        <v>727</v>
      </c>
      <c r="O272" s="262" t="s">
        <v>11</v>
      </c>
    </row>
    <row r="273" spans="1:15" s="218" customFormat="1" x14ac:dyDescent="0.25">
      <c r="A273" s="265">
        <v>4</v>
      </c>
      <c r="B273" s="265">
        <v>4</v>
      </c>
      <c r="C273" s="265" t="s">
        <v>880</v>
      </c>
      <c r="D273" s="265">
        <v>1</v>
      </c>
      <c r="E273" s="265" t="s">
        <v>754</v>
      </c>
      <c r="F273" s="265">
        <v>1</v>
      </c>
      <c r="G273" s="265">
        <v>1</v>
      </c>
      <c r="H273" s="265">
        <v>1</v>
      </c>
      <c r="I273" s="266">
        <v>655241.90576171805</v>
      </c>
      <c r="J273" s="265" t="s">
        <v>120</v>
      </c>
      <c r="K273" s="265" t="s">
        <v>121</v>
      </c>
      <c r="L273" s="265" t="s">
        <v>30</v>
      </c>
      <c r="M273" s="265" t="s">
        <v>732</v>
      </c>
      <c r="N273" s="265" t="s">
        <v>728</v>
      </c>
      <c r="O273" s="265" t="s">
        <v>11</v>
      </c>
    </row>
    <row r="274" spans="1:15" s="218" customFormat="1" x14ac:dyDescent="0.25">
      <c r="A274" s="265">
        <v>4</v>
      </c>
      <c r="B274" s="265">
        <v>4</v>
      </c>
      <c r="C274" s="265" t="s">
        <v>880</v>
      </c>
      <c r="D274" s="265">
        <v>1</v>
      </c>
      <c r="E274" s="265" t="s">
        <v>754</v>
      </c>
      <c r="F274" s="265">
        <v>1</v>
      </c>
      <c r="G274" s="265">
        <v>1</v>
      </c>
      <c r="H274" s="265">
        <v>1</v>
      </c>
      <c r="I274" s="266">
        <v>596210.951171875</v>
      </c>
      <c r="J274" s="265" t="s">
        <v>122</v>
      </c>
      <c r="K274" s="265" t="s">
        <v>123</v>
      </c>
      <c r="L274" s="265" t="s">
        <v>30</v>
      </c>
      <c r="M274" s="265" t="s">
        <v>732</v>
      </c>
      <c r="N274" s="265" t="s">
        <v>728</v>
      </c>
      <c r="O274" s="265" t="s">
        <v>11</v>
      </c>
    </row>
    <row r="275" spans="1:15" s="264" customFormat="1" x14ac:dyDescent="0.25">
      <c r="A275" s="262">
        <v>4</v>
      </c>
      <c r="B275" s="262">
        <v>4</v>
      </c>
      <c r="C275" s="262" t="s">
        <v>880</v>
      </c>
      <c r="D275" s="262">
        <v>1</v>
      </c>
      <c r="E275" s="262" t="s">
        <v>754</v>
      </c>
      <c r="F275" s="262">
        <v>1</v>
      </c>
      <c r="G275" s="262">
        <v>1</v>
      </c>
      <c r="H275" s="262">
        <v>1</v>
      </c>
      <c r="I275" s="263">
        <v>187566.08203125</v>
      </c>
      <c r="J275" s="262" t="s">
        <v>124</v>
      </c>
      <c r="K275" s="262" t="s">
        <v>125</v>
      </c>
      <c r="L275" s="262" t="s">
        <v>30</v>
      </c>
      <c r="M275" s="262" t="s">
        <v>732</v>
      </c>
      <c r="N275" s="262" t="s">
        <v>727</v>
      </c>
      <c r="O275" s="262" t="s">
        <v>11</v>
      </c>
    </row>
    <row r="276" spans="1:15" s="264" customFormat="1" x14ac:dyDescent="0.25">
      <c r="A276" s="262">
        <v>4</v>
      </c>
      <c r="B276" s="262">
        <v>4</v>
      </c>
      <c r="C276" s="262" t="s">
        <v>880</v>
      </c>
      <c r="D276" s="262">
        <v>1</v>
      </c>
      <c r="E276" s="262" t="s">
        <v>754</v>
      </c>
      <c r="F276" s="262">
        <v>1</v>
      </c>
      <c r="G276" s="262">
        <v>1</v>
      </c>
      <c r="H276" s="262">
        <v>1</v>
      </c>
      <c r="I276" s="263">
        <v>1922227.6791992099</v>
      </c>
      <c r="J276" s="262" t="s">
        <v>128</v>
      </c>
      <c r="K276" s="262" t="s">
        <v>129</v>
      </c>
      <c r="L276" s="262" t="s">
        <v>80</v>
      </c>
      <c r="M276" s="262" t="s">
        <v>733</v>
      </c>
      <c r="N276" s="262" t="s">
        <v>727</v>
      </c>
      <c r="O276" s="262" t="s">
        <v>11</v>
      </c>
    </row>
    <row r="277" spans="1:15" s="218" customFormat="1" x14ac:dyDescent="0.25">
      <c r="A277" s="265">
        <v>4</v>
      </c>
      <c r="B277" s="265">
        <v>4</v>
      </c>
      <c r="C277" s="265" t="s">
        <v>880</v>
      </c>
      <c r="D277" s="265">
        <v>1</v>
      </c>
      <c r="E277" s="265" t="s">
        <v>754</v>
      </c>
      <c r="F277" s="265">
        <v>1</v>
      </c>
      <c r="G277" s="265">
        <v>1</v>
      </c>
      <c r="H277" s="265">
        <v>1</v>
      </c>
      <c r="I277" s="266">
        <v>265527.44677734299</v>
      </c>
      <c r="J277" s="265" t="s">
        <v>132</v>
      </c>
      <c r="K277" s="265" t="s">
        <v>133</v>
      </c>
      <c r="L277" s="265" t="s">
        <v>30</v>
      </c>
      <c r="M277" s="265" t="s">
        <v>732</v>
      </c>
      <c r="N277" s="265" t="s">
        <v>728</v>
      </c>
      <c r="O277" s="265" t="s">
        <v>11</v>
      </c>
    </row>
    <row r="278" spans="1:15" s="269" customFormat="1" x14ac:dyDescent="0.25">
      <c r="A278" s="267">
        <v>4</v>
      </c>
      <c r="B278" s="267">
        <v>4</v>
      </c>
      <c r="C278" s="267" t="s">
        <v>880</v>
      </c>
      <c r="D278" s="267">
        <v>1</v>
      </c>
      <c r="E278" s="267" t="s">
        <v>754</v>
      </c>
      <c r="F278" s="267">
        <v>1</v>
      </c>
      <c r="G278" s="267">
        <v>1</v>
      </c>
      <c r="H278" s="267">
        <v>1</v>
      </c>
      <c r="I278" s="268">
        <v>12263.630859375</v>
      </c>
      <c r="J278" s="267" t="s">
        <v>134</v>
      </c>
      <c r="K278" s="267" t="s">
        <v>135</v>
      </c>
      <c r="L278" s="267" t="s">
        <v>14</v>
      </c>
      <c r="M278" s="267" t="s">
        <v>740</v>
      </c>
      <c r="N278" s="267" t="s">
        <v>729</v>
      </c>
      <c r="O278" s="267" t="s">
        <v>741</v>
      </c>
    </row>
    <row r="279" spans="1:15" s="218" customFormat="1" x14ac:dyDescent="0.25">
      <c r="A279" s="265">
        <v>4</v>
      </c>
      <c r="B279" s="265">
        <v>4</v>
      </c>
      <c r="C279" s="265" t="s">
        <v>880</v>
      </c>
      <c r="D279" s="265">
        <v>1</v>
      </c>
      <c r="E279" s="265" t="s">
        <v>754</v>
      </c>
      <c r="F279" s="265">
        <v>1</v>
      </c>
      <c r="G279" s="265">
        <v>1</v>
      </c>
      <c r="H279" s="265">
        <v>1</v>
      </c>
      <c r="I279" s="266">
        <v>66531.3583984375</v>
      </c>
      <c r="J279" s="265" t="s">
        <v>136</v>
      </c>
      <c r="K279" s="265" t="s">
        <v>137</v>
      </c>
      <c r="L279" s="265" t="s">
        <v>27</v>
      </c>
      <c r="M279" s="265" t="s">
        <v>738</v>
      </c>
      <c r="N279" s="265" t="s">
        <v>728</v>
      </c>
      <c r="O279" s="265" t="s">
        <v>11</v>
      </c>
    </row>
    <row r="280" spans="1:15" s="28" customFormat="1" x14ac:dyDescent="0.25">
      <c r="A280" s="86">
        <v>4</v>
      </c>
      <c r="B280" s="86">
        <v>4</v>
      </c>
      <c r="C280" s="86" t="s">
        <v>880</v>
      </c>
      <c r="D280" s="86">
        <v>1</v>
      </c>
      <c r="E280" s="86" t="s">
        <v>754</v>
      </c>
      <c r="F280" s="86">
        <v>1</v>
      </c>
      <c r="G280" s="86">
        <v>1</v>
      </c>
      <c r="H280" s="86">
        <v>1</v>
      </c>
      <c r="I280" s="87">
        <v>851298.380859375</v>
      </c>
      <c r="J280" s="86" t="s">
        <v>138</v>
      </c>
      <c r="K280" s="86" t="s">
        <v>139</v>
      </c>
      <c r="L280" s="86" t="s">
        <v>140</v>
      </c>
      <c r="M280" s="86" t="s">
        <v>734</v>
      </c>
      <c r="N280" s="86" t="s">
        <v>726</v>
      </c>
      <c r="O280" s="86" t="s">
        <v>35</v>
      </c>
    </row>
    <row r="281" spans="1:15" s="129" customFormat="1" x14ac:dyDescent="0.25">
      <c r="A281" s="130">
        <v>4</v>
      </c>
      <c r="B281" s="130">
        <v>4</v>
      </c>
      <c r="C281" s="130" t="s">
        <v>880</v>
      </c>
      <c r="D281" s="130">
        <v>1</v>
      </c>
      <c r="E281" s="130" t="s">
        <v>754</v>
      </c>
      <c r="F281" s="130">
        <v>1</v>
      </c>
      <c r="G281" s="130">
        <v>1</v>
      </c>
      <c r="H281" s="130">
        <v>1</v>
      </c>
      <c r="I281" s="131">
        <v>610251.083984375</v>
      </c>
      <c r="J281" s="130" t="s">
        <v>141</v>
      </c>
      <c r="K281" s="130" t="s">
        <v>142</v>
      </c>
      <c r="L281" s="130" t="s">
        <v>46</v>
      </c>
      <c r="M281" s="130" t="s">
        <v>739</v>
      </c>
      <c r="N281" s="130" t="s">
        <v>15</v>
      </c>
      <c r="O281" s="130" t="s">
        <v>11</v>
      </c>
    </row>
    <row r="282" spans="1:15" s="218" customFormat="1" x14ac:dyDescent="0.25">
      <c r="A282" s="265">
        <v>4</v>
      </c>
      <c r="B282" s="265">
        <v>4</v>
      </c>
      <c r="C282" s="265" t="s">
        <v>880</v>
      </c>
      <c r="D282" s="265">
        <v>1</v>
      </c>
      <c r="E282" s="265" t="s">
        <v>754</v>
      </c>
      <c r="F282" s="265">
        <v>1</v>
      </c>
      <c r="G282" s="265">
        <v>1</v>
      </c>
      <c r="H282" s="265">
        <v>1</v>
      </c>
      <c r="I282" s="266">
        <v>323630.22314453102</v>
      </c>
      <c r="J282" s="265" t="s">
        <v>124</v>
      </c>
      <c r="K282" s="265" t="s">
        <v>125</v>
      </c>
      <c r="L282" s="265" t="s">
        <v>30</v>
      </c>
      <c r="M282" s="265" t="s">
        <v>732</v>
      </c>
      <c r="N282" s="265" t="s">
        <v>728</v>
      </c>
      <c r="O282" s="265" t="s">
        <v>11</v>
      </c>
    </row>
    <row r="283" spans="1:15" s="264" customFormat="1" x14ac:dyDescent="0.25">
      <c r="A283" s="262">
        <v>4</v>
      </c>
      <c r="B283" s="262">
        <v>4</v>
      </c>
      <c r="C283" s="262" t="s">
        <v>880</v>
      </c>
      <c r="D283" s="262">
        <v>1</v>
      </c>
      <c r="E283" s="262" t="s">
        <v>754</v>
      </c>
      <c r="F283" s="262">
        <v>1</v>
      </c>
      <c r="G283" s="262">
        <v>1</v>
      </c>
      <c r="H283" s="262">
        <v>1</v>
      </c>
      <c r="I283" s="263">
        <v>1277952.5463867099</v>
      </c>
      <c r="J283" s="262" t="s">
        <v>145</v>
      </c>
      <c r="K283" s="262" t="s">
        <v>146</v>
      </c>
      <c r="L283" s="262" t="s">
        <v>14</v>
      </c>
      <c r="M283" s="262" t="s">
        <v>740</v>
      </c>
      <c r="N283" s="262" t="s">
        <v>727</v>
      </c>
      <c r="O283" s="262" t="s">
        <v>11</v>
      </c>
    </row>
    <row r="284" spans="1:15" s="218" customFormat="1" x14ac:dyDescent="0.25">
      <c r="A284" s="265">
        <v>4</v>
      </c>
      <c r="B284" s="265">
        <v>4</v>
      </c>
      <c r="C284" s="265" t="s">
        <v>880</v>
      </c>
      <c r="D284" s="265">
        <v>1</v>
      </c>
      <c r="E284" s="265" t="s">
        <v>754</v>
      </c>
      <c r="F284" s="265">
        <v>1</v>
      </c>
      <c r="G284" s="265">
        <v>1</v>
      </c>
      <c r="H284" s="265">
        <v>1</v>
      </c>
      <c r="I284" s="266">
        <v>326436.1015625</v>
      </c>
      <c r="J284" s="265" t="s">
        <v>149</v>
      </c>
      <c r="K284" s="265" t="s">
        <v>150</v>
      </c>
      <c r="L284" s="265" t="s">
        <v>14</v>
      </c>
      <c r="M284" s="265" t="s">
        <v>740</v>
      </c>
      <c r="N284" s="265" t="s">
        <v>728</v>
      </c>
      <c r="O284" s="265" t="s">
        <v>741</v>
      </c>
    </row>
    <row r="285" spans="1:15" s="129" customFormat="1" x14ac:dyDescent="0.25">
      <c r="A285" s="130">
        <v>4</v>
      </c>
      <c r="B285" s="130">
        <v>4</v>
      </c>
      <c r="C285" s="130" t="s">
        <v>880</v>
      </c>
      <c r="D285" s="130">
        <v>1</v>
      </c>
      <c r="E285" s="130" t="s">
        <v>754</v>
      </c>
      <c r="F285" s="130">
        <v>1</v>
      </c>
      <c r="G285" s="130">
        <v>1</v>
      </c>
      <c r="H285" s="130">
        <v>1</v>
      </c>
      <c r="I285" s="131">
        <v>908621.15234375</v>
      </c>
      <c r="J285" s="130" t="s">
        <v>40</v>
      </c>
      <c r="K285" s="130" t="s">
        <v>41</v>
      </c>
      <c r="L285" s="130" t="s">
        <v>30</v>
      </c>
      <c r="M285" s="130" t="s">
        <v>732</v>
      </c>
      <c r="N285" s="130" t="s">
        <v>15</v>
      </c>
      <c r="O285" s="130" t="s">
        <v>11</v>
      </c>
    </row>
    <row r="286" spans="1:15" s="129" customFormat="1" x14ac:dyDescent="0.25">
      <c r="A286" s="130">
        <v>4</v>
      </c>
      <c r="B286" s="130">
        <v>4</v>
      </c>
      <c r="C286" s="130" t="s">
        <v>880</v>
      </c>
      <c r="D286" s="130">
        <v>1</v>
      </c>
      <c r="E286" s="130" t="s">
        <v>754</v>
      </c>
      <c r="F286" s="130">
        <v>1</v>
      </c>
      <c r="G286" s="130">
        <v>1</v>
      </c>
      <c r="H286" s="130">
        <v>1</v>
      </c>
      <c r="I286" s="131">
        <v>383813.11279296799</v>
      </c>
      <c r="J286" s="130" t="s">
        <v>161</v>
      </c>
      <c r="K286" s="130" t="s">
        <v>162</v>
      </c>
      <c r="L286" s="130" t="s">
        <v>80</v>
      </c>
      <c r="M286" s="130" t="s">
        <v>733</v>
      </c>
      <c r="N286" s="130" t="s">
        <v>15</v>
      </c>
      <c r="O286" s="130" t="s">
        <v>11</v>
      </c>
    </row>
    <row r="287" spans="1:15" s="218" customFormat="1" x14ac:dyDescent="0.25">
      <c r="A287" s="265">
        <v>4</v>
      </c>
      <c r="B287" s="265">
        <v>4</v>
      </c>
      <c r="C287" s="265" t="s">
        <v>880</v>
      </c>
      <c r="D287" s="265">
        <v>1</v>
      </c>
      <c r="E287" s="265" t="s">
        <v>754</v>
      </c>
      <c r="F287" s="265">
        <v>1</v>
      </c>
      <c r="G287" s="265">
        <v>1</v>
      </c>
      <c r="H287" s="265">
        <v>1</v>
      </c>
      <c r="I287" s="266">
        <v>648696.14160156203</v>
      </c>
      <c r="J287" s="265" t="s">
        <v>163</v>
      </c>
      <c r="K287" s="265" t="s">
        <v>164</v>
      </c>
      <c r="L287" s="265" t="s">
        <v>14</v>
      </c>
      <c r="M287" s="265" t="s">
        <v>740</v>
      </c>
      <c r="N287" s="265" t="s">
        <v>728</v>
      </c>
      <c r="O287" s="265" t="s">
        <v>11</v>
      </c>
    </row>
    <row r="288" spans="1:15" s="264" customFormat="1" x14ac:dyDescent="0.25">
      <c r="A288" s="262">
        <v>4</v>
      </c>
      <c r="B288" s="262">
        <v>4</v>
      </c>
      <c r="C288" s="262" t="s">
        <v>880</v>
      </c>
      <c r="D288" s="262">
        <v>1</v>
      </c>
      <c r="E288" s="262" t="s">
        <v>754</v>
      </c>
      <c r="F288" s="262">
        <v>1</v>
      </c>
      <c r="G288" s="262">
        <v>1</v>
      </c>
      <c r="H288" s="262">
        <v>1</v>
      </c>
      <c r="I288" s="263">
        <v>3216.63671875</v>
      </c>
      <c r="J288" s="262" t="s">
        <v>165</v>
      </c>
      <c r="K288" s="262" t="s">
        <v>166</v>
      </c>
      <c r="L288" s="262" t="s">
        <v>30</v>
      </c>
      <c r="M288" s="262" t="s">
        <v>732</v>
      </c>
      <c r="N288" s="262" t="s">
        <v>727</v>
      </c>
      <c r="O288" s="262" t="s">
        <v>11</v>
      </c>
    </row>
    <row r="289" spans="1:15" s="264" customFormat="1" x14ac:dyDescent="0.25">
      <c r="A289" s="262">
        <v>4</v>
      </c>
      <c r="B289" s="262">
        <v>4</v>
      </c>
      <c r="C289" s="262" t="s">
        <v>880</v>
      </c>
      <c r="D289" s="262">
        <v>1</v>
      </c>
      <c r="E289" s="262" t="s">
        <v>754</v>
      </c>
      <c r="F289" s="262">
        <v>1</v>
      </c>
      <c r="G289" s="262">
        <v>1</v>
      </c>
      <c r="H289" s="262">
        <v>1</v>
      </c>
      <c r="I289" s="263">
        <v>5966.3212890625</v>
      </c>
      <c r="J289" s="262" t="s">
        <v>169</v>
      </c>
      <c r="K289" s="262" t="s">
        <v>170</v>
      </c>
      <c r="L289" s="262" t="s">
        <v>80</v>
      </c>
      <c r="M289" s="262" t="s">
        <v>733</v>
      </c>
      <c r="N289" s="262" t="s">
        <v>727</v>
      </c>
      <c r="O289" s="262" t="s">
        <v>11</v>
      </c>
    </row>
    <row r="290" spans="1:15" s="129" customFormat="1" x14ac:dyDescent="0.25">
      <c r="A290" s="130">
        <v>4</v>
      </c>
      <c r="B290" s="130">
        <v>4</v>
      </c>
      <c r="C290" s="130" t="s">
        <v>880</v>
      </c>
      <c r="D290" s="130">
        <v>1</v>
      </c>
      <c r="E290" s="130" t="s">
        <v>754</v>
      </c>
      <c r="F290" s="130">
        <v>1</v>
      </c>
      <c r="G290" s="130">
        <v>1</v>
      </c>
      <c r="H290" s="130">
        <v>1</v>
      </c>
      <c r="I290" s="131">
        <v>3159677.3652343699</v>
      </c>
      <c r="J290" s="130" t="s">
        <v>171</v>
      </c>
      <c r="K290" s="130" t="s">
        <v>172</v>
      </c>
      <c r="L290" s="130" t="s">
        <v>30</v>
      </c>
      <c r="M290" s="130" t="s">
        <v>732</v>
      </c>
      <c r="N290" s="130" t="s">
        <v>15</v>
      </c>
      <c r="O290" s="130" t="s">
        <v>11</v>
      </c>
    </row>
    <row r="291" spans="1:15" s="264" customFormat="1" x14ac:dyDescent="0.25">
      <c r="A291" s="262">
        <v>4</v>
      </c>
      <c r="B291" s="262">
        <v>4</v>
      </c>
      <c r="C291" s="262" t="s">
        <v>880</v>
      </c>
      <c r="D291" s="262">
        <v>1</v>
      </c>
      <c r="E291" s="262" t="s">
        <v>754</v>
      </c>
      <c r="F291" s="262">
        <v>1</v>
      </c>
      <c r="G291" s="262">
        <v>1</v>
      </c>
      <c r="H291" s="262">
        <v>1</v>
      </c>
      <c r="I291" s="263">
        <v>10358.416503906201</v>
      </c>
      <c r="J291" s="262" t="s">
        <v>179</v>
      </c>
      <c r="K291" s="262" t="s">
        <v>180</v>
      </c>
      <c r="L291" s="262" t="s">
        <v>30</v>
      </c>
      <c r="M291" s="262" t="s">
        <v>732</v>
      </c>
      <c r="N291" s="262" t="s">
        <v>727</v>
      </c>
      <c r="O291" s="262" t="s">
        <v>11</v>
      </c>
    </row>
    <row r="292" spans="1:15" s="218" customFormat="1" x14ac:dyDescent="0.25">
      <c r="A292" s="265">
        <v>4</v>
      </c>
      <c r="B292" s="265">
        <v>4</v>
      </c>
      <c r="C292" s="265" t="s">
        <v>880</v>
      </c>
      <c r="D292" s="265">
        <v>1</v>
      </c>
      <c r="E292" s="265" t="s">
        <v>754</v>
      </c>
      <c r="F292" s="265">
        <v>1</v>
      </c>
      <c r="G292" s="265">
        <v>1</v>
      </c>
      <c r="H292" s="265">
        <v>1</v>
      </c>
      <c r="I292" s="266">
        <v>853350.4140625</v>
      </c>
      <c r="J292" s="265" t="s">
        <v>181</v>
      </c>
      <c r="K292" s="265" t="s">
        <v>182</v>
      </c>
      <c r="L292" s="265" t="s">
        <v>14</v>
      </c>
      <c r="M292" s="265" t="s">
        <v>740</v>
      </c>
      <c r="N292" s="265" t="s">
        <v>728</v>
      </c>
      <c r="O292" s="265" t="s">
        <v>11</v>
      </c>
    </row>
    <row r="293" spans="1:15" s="129" customFormat="1" x14ac:dyDescent="0.25">
      <c r="A293" s="130">
        <v>4</v>
      </c>
      <c r="B293" s="130">
        <v>4</v>
      </c>
      <c r="C293" s="130" t="s">
        <v>880</v>
      </c>
      <c r="D293" s="130">
        <v>1</v>
      </c>
      <c r="E293" s="130" t="s">
        <v>754</v>
      </c>
      <c r="F293" s="130">
        <v>1</v>
      </c>
      <c r="G293" s="130">
        <v>1</v>
      </c>
      <c r="H293" s="130">
        <v>1</v>
      </c>
      <c r="I293" s="131">
        <v>1222802.1953125</v>
      </c>
      <c r="J293" s="130" t="s">
        <v>145</v>
      </c>
      <c r="K293" s="130" t="s">
        <v>146</v>
      </c>
      <c r="L293" s="130" t="s">
        <v>14</v>
      </c>
      <c r="M293" s="130" t="s">
        <v>740</v>
      </c>
      <c r="N293" s="130" t="s">
        <v>15</v>
      </c>
      <c r="O293" s="130" t="s">
        <v>11</v>
      </c>
    </row>
    <row r="294" spans="1:15" s="218" customFormat="1" x14ac:dyDescent="0.25">
      <c r="A294" s="265">
        <v>4</v>
      </c>
      <c r="B294" s="265">
        <v>4</v>
      </c>
      <c r="C294" s="265" t="s">
        <v>880</v>
      </c>
      <c r="D294" s="265">
        <v>1</v>
      </c>
      <c r="E294" s="265" t="s">
        <v>754</v>
      </c>
      <c r="F294" s="265">
        <v>1</v>
      </c>
      <c r="G294" s="265">
        <v>1</v>
      </c>
      <c r="H294" s="265">
        <v>1</v>
      </c>
      <c r="I294" s="266">
        <v>2726.47021484375</v>
      </c>
      <c r="J294" s="265" t="s">
        <v>195</v>
      </c>
      <c r="K294" s="265" t="s">
        <v>196</v>
      </c>
      <c r="L294" s="265" t="s">
        <v>80</v>
      </c>
      <c r="M294" s="265" t="s">
        <v>733</v>
      </c>
      <c r="N294" s="265" t="s">
        <v>728</v>
      </c>
      <c r="O294" s="265" t="s">
        <v>11</v>
      </c>
    </row>
    <row r="295" spans="1:15" s="218" customFormat="1" x14ac:dyDescent="0.25">
      <c r="A295" s="265">
        <v>4</v>
      </c>
      <c r="B295" s="265">
        <v>4</v>
      </c>
      <c r="C295" s="265" t="s">
        <v>880</v>
      </c>
      <c r="D295" s="265">
        <v>1</v>
      </c>
      <c r="E295" s="265" t="s">
        <v>754</v>
      </c>
      <c r="F295" s="265">
        <v>1</v>
      </c>
      <c r="G295" s="265">
        <v>1</v>
      </c>
      <c r="H295" s="265">
        <v>1</v>
      </c>
      <c r="I295" s="266">
        <v>329766.42724609299</v>
      </c>
      <c r="J295" s="265" t="s">
        <v>197</v>
      </c>
      <c r="K295" s="265" t="s">
        <v>198</v>
      </c>
      <c r="L295" s="265" t="s">
        <v>30</v>
      </c>
      <c r="M295" s="265" t="s">
        <v>732</v>
      </c>
      <c r="N295" s="265" t="s">
        <v>728</v>
      </c>
      <c r="O295" s="265" t="s">
        <v>11</v>
      </c>
    </row>
    <row r="296" spans="1:15" s="218" customFormat="1" x14ac:dyDescent="0.25">
      <c r="A296" s="265">
        <v>4</v>
      </c>
      <c r="B296" s="265">
        <v>4</v>
      </c>
      <c r="C296" s="265" t="s">
        <v>880</v>
      </c>
      <c r="D296" s="265">
        <v>1</v>
      </c>
      <c r="E296" s="265" t="s">
        <v>754</v>
      </c>
      <c r="F296" s="265">
        <v>1</v>
      </c>
      <c r="G296" s="265">
        <v>1</v>
      </c>
      <c r="H296" s="265">
        <v>1</v>
      </c>
      <c r="I296" s="266">
        <v>341944.07714843698</v>
      </c>
      <c r="J296" s="265" t="s">
        <v>199</v>
      </c>
      <c r="K296" s="265" t="s">
        <v>200</v>
      </c>
      <c r="L296" s="265" t="s">
        <v>14</v>
      </c>
      <c r="M296" s="265" t="s">
        <v>740</v>
      </c>
      <c r="N296" s="265" t="s">
        <v>728</v>
      </c>
      <c r="O296" s="265" t="s">
        <v>11</v>
      </c>
    </row>
    <row r="297" spans="1:15" s="129" customFormat="1" x14ac:dyDescent="0.25">
      <c r="A297" s="130">
        <v>4</v>
      </c>
      <c r="B297" s="130">
        <v>4</v>
      </c>
      <c r="C297" s="130" t="s">
        <v>880</v>
      </c>
      <c r="D297" s="130">
        <v>1</v>
      </c>
      <c r="E297" s="130" t="s">
        <v>754</v>
      </c>
      <c r="F297" s="130">
        <v>1</v>
      </c>
      <c r="G297" s="130">
        <v>1</v>
      </c>
      <c r="H297" s="130">
        <v>1</v>
      </c>
      <c r="I297" s="131">
        <v>799648.58251953102</v>
      </c>
      <c r="J297" s="130" t="s">
        <v>201</v>
      </c>
      <c r="K297" s="130" t="s">
        <v>202</v>
      </c>
      <c r="L297" s="130" t="s">
        <v>80</v>
      </c>
      <c r="M297" s="130" t="s">
        <v>733</v>
      </c>
      <c r="N297" s="130" t="s">
        <v>15</v>
      </c>
      <c r="O297" s="130" t="s">
        <v>11</v>
      </c>
    </row>
    <row r="298" spans="1:15" s="218" customFormat="1" x14ac:dyDescent="0.25">
      <c r="A298" s="265">
        <v>4</v>
      </c>
      <c r="B298" s="265">
        <v>4</v>
      </c>
      <c r="C298" s="265" t="s">
        <v>880</v>
      </c>
      <c r="D298" s="265">
        <v>1</v>
      </c>
      <c r="E298" s="265" t="s">
        <v>754</v>
      </c>
      <c r="F298" s="265">
        <v>1</v>
      </c>
      <c r="G298" s="265">
        <v>1</v>
      </c>
      <c r="H298" s="265">
        <v>1</v>
      </c>
      <c r="I298" s="266">
        <v>123203.56201171799</v>
      </c>
      <c r="J298" s="265" t="s">
        <v>28</v>
      </c>
      <c r="K298" s="265" t="s">
        <v>29</v>
      </c>
      <c r="L298" s="265" t="s">
        <v>30</v>
      </c>
      <c r="M298" s="265" t="s">
        <v>732</v>
      </c>
      <c r="N298" s="265" t="s">
        <v>728</v>
      </c>
      <c r="O298" s="265" t="s">
        <v>11</v>
      </c>
    </row>
    <row r="299" spans="1:15" s="264" customFormat="1" x14ac:dyDescent="0.25">
      <c r="A299" s="262">
        <v>4</v>
      </c>
      <c r="B299" s="262">
        <v>4</v>
      </c>
      <c r="C299" s="262" t="s">
        <v>880</v>
      </c>
      <c r="D299" s="262">
        <v>1</v>
      </c>
      <c r="E299" s="262" t="s">
        <v>754</v>
      </c>
      <c r="F299" s="262">
        <v>1</v>
      </c>
      <c r="G299" s="262">
        <v>1</v>
      </c>
      <c r="H299" s="262">
        <v>1</v>
      </c>
      <c r="I299" s="263">
        <v>3008292.2329101502</v>
      </c>
      <c r="J299" s="262" t="s">
        <v>205</v>
      </c>
      <c r="K299" s="262" t="s">
        <v>206</v>
      </c>
      <c r="L299" s="262" t="s">
        <v>14</v>
      </c>
      <c r="M299" s="262" t="s">
        <v>740</v>
      </c>
      <c r="N299" s="262" t="s">
        <v>727</v>
      </c>
      <c r="O299" s="262" t="s">
        <v>741</v>
      </c>
    </row>
    <row r="300" spans="1:15" s="264" customFormat="1" x14ac:dyDescent="0.25">
      <c r="A300" s="262">
        <v>4</v>
      </c>
      <c r="B300" s="262">
        <v>4</v>
      </c>
      <c r="C300" s="262" t="s">
        <v>880</v>
      </c>
      <c r="D300" s="262">
        <v>1</v>
      </c>
      <c r="E300" s="262" t="s">
        <v>754</v>
      </c>
      <c r="F300" s="262">
        <v>1</v>
      </c>
      <c r="G300" s="262">
        <v>1</v>
      </c>
      <c r="H300" s="262">
        <v>1</v>
      </c>
      <c r="I300" s="263">
        <v>262034.45703125</v>
      </c>
      <c r="J300" s="262" t="s">
        <v>120</v>
      </c>
      <c r="K300" s="262" t="s">
        <v>121</v>
      </c>
      <c r="L300" s="262" t="s">
        <v>30</v>
      </c>
      <c r="M300" s="262" t="s">
        <v>732</v>
      </c>
      <c r="N300" s="262" t="s">
        <v>727</v>
      </c>
      <c r="O300" s="262" t="s">
        <v>11</v>
      </c>
    </row>
    <row r="301" spans="1:15" s="129" customFormat="1" x14ac:dyDescent="0.25">
      <c r="A301" s="130">
        <v>4</v>
      </c>
      <c r="B301" s="130">
        <v>4</v>
      </c>
      <c r="C301" s="130" t="s">
        <v>880</v>
      </c>
      <c r="D301" s="130">
        <v>1</v>
      </c>
      <c r="E301" s="130" t="s">
        <v>754</v>
      </c>
      <c r="F301" s="130">
        <v>1</v>
      </c>
      <c r="G301" s="130">
        <v>1</v>
      </c>
      <c r="H301" s="130">
        <v>1</v>
      </c>
      <c r="I301" s="131">
        <v>12433.673339843701</v>
      </c>
      <c r="J301" s="130" t="s">
        <v>116</v>
      </c>
      <c r="K301" s="130" t="s">
        <v>117</v>
      </c>
      <c r="L301" s="130" t="s">
        <v>80</v>
      </c>
      <c r="M301" s="130" t="s">
        <v>733</v>
      </c>
      <c r="N301" s="130" t="s">
        <v>15</v>
      </c>
      <c r="O301" s="130" t="s">
        <v>11</v>
      </c>
    </row>
    <row r="302" spans="1:15" s="129" customFormat="1" x14ac:dyDescent="0.25">
      <c r="A302" s="130">
        <v>4</v>
      </c>
      <c r="B302" s="130">
        <v>4</v>
      </c>
      <c r="C302" s="130" t="s">
        <v>880</v>
      </c>
      <c r="D302" s="130">
        <v>1</v>
      </c>
      <c r="E302" s="130" t="s">
        <v>754</v>
      </c>
      <c r="F302" s="130">
        <v>1</v>
      </c>
      <c r="G302" s="130">
        <v>1</v>
      </c>
      <c r="H302" s="130">
        <v>1</v>
      </c>
      <c r="I302" s="131">
        <v>7.73583984375</v>
      </c>
      <c r="J302" s="130" t="s">
        <v>211</v>
      </c>
      <c r="K302" s="130" t="s">
        <v>212</v>
      </c>
      <c r="L302" s="130" t="s">
        <v>30</v>
      </c>
      <c r="M302" s="130" t="s">
        <v>732</v>
      </c>
      <c r="N302" s="130" t="s">
        <v>15</v>
      </c>
      <c r="O302" s="130" t="s">
        <v>11</v>
      </c>
    </row>
    <row r="303" spans="1:15" s="264" customFormat="1" x14ac:dyDescent="0.25">
      <c r="A303" s="262">
        <v>4</v>
      </c>
      <c r="B303" s="262">
        <v>4</v>
      </c>
      <c r="C303" s="262" t="s">
        <v>880</v>
      </c>
      <c r="D303" s="262">
        <v>1</v>
      </c>
      <c r="E303" s="262" t="s">
        <v>754</v>
      </c>
      <c r="F303" s="262">
        <v>1</v>
      </c>
      <c r="G303" s="262">
        <v>1</v>
      </c>
      <c r="H303" s="262">
        <v>1</v>
      </c>
      <c r="I303" s="263">
        <v>28356.916503906199</v>
      </c>
      <c r="J303" s="262" t="s">
        <v>217</v>
      </c>
      <c r="K303" s="262" t="s">
        <v>218</v>
      </c>
      <c r="L303" s="262" t="s">
        <v>30</v>
      </c>
      <c r="M303" s="262" t="s">
        <v>732</v>
      </c>
      <c r="N303" s="262" t="s">
        <v>727</v>
      </c>
      <c r="O303" s="262" t="s">
        <v>11</v>
      </c>
    </row>
    <row r="304" spans="1:15" s="218" customFormat="1" x14ac:dyDescent="0.25">
      <c r="A304" s="265">
        <v>4</v>
      </c>
      <c r="B304" s="265">
        <v>4</v>
      </c>
      <c r="C304" s="265" t="s">
        <v>880</v>
      </c>
      <c r="D304" s="265">
        <v>1</v>
      </c>
      <c r="E304" s="265" t="s">
        <v>754</v>
      </c>
      <c r="F304" s="265">
        <v>1</v>
      </c>
      <c r="G304" s="265">
        <v>1</v>
      </c>
      <c r="H304" s="265">
        <v>1</v>
      </c>
      <c r="I304" s="266">
        <v>429198.87792968698</v>
      </c>
      <c r="J304" s="265" t="s">
        <v>219</v>
      </c>
      <c r="K304" s="265" t="s">
        <v>220</v>
      </c>
      <c r="L304" s="265" t="s">
        <v>80</v>
      </c>
      <c r="M304" s="265" t="s">
        <v>733</v>
      </c>
      <c r="N304" s="265" t="s">
        <v>728</v>
      </c>
      <c r="O304" s="265" t="s">
        <v>11</v>
      </c>
    </row>
    <row r="305" spans="1:15" s="218" customFormat="1" x14ac:dyDescent="0.25">
      <c r="A305" s="265">
        <v>4</v>
      </c>
      <c r="B305" s="265">
        <v>4</v>
      </c>
      <c r="C305" s="265" t="s">
        <v>880</v>
      </c>
      <c r="D305" s="265">
        <v>1</v>
      </c>
      <c r="E305" s="265" t="s">
        <v>754</v>
      </c>
      <c r="F305" s="265">
        <v>1</v>
      </c>
      <c r="G305" s="265">
        <v>1</v>
      </c>
      <c r="H305" s="265">
        <v>1</v>
      </c>
      <c r="I305" s="266">
        <v>226211.69189453099</v>
      </c>
      <c r="J305" s="265" t="s">
        <v>221</v>
      </c>
      <c r="K305" s="265" t="s">
        <v>222</v>
      </c>
      <c r="L305" s="265" t="s">
        <v>80</v>
      </c>
      <c r="M305" s="265" t="s">
        <v>733</v>
      </c>
      <c r="N305" s="265" t="s">
        <v>728</v>
      </c>
      <c r="O305" s="265" t="s">
        <v>11</v>
      </c>
    </row>
    <row r="306" spans="1:15" s="28" customFormat="1" x14ac:dyDescent="0.25">
      <c r="A306" s="86">
        <v>4</v>
      </c>
      <c r="B306" s="86">
        <v>4</v>
      </c>
      <c r="C306" s="86" t="s">
        <v>880</v>
      </c>
      <c r="D306" s="86">
        <v>1</v>
      </c>
      <c r="E306" s="86" t="s">
        <v>754</v>
      </c>
      <c r="F306" s="86">
        <v>1</v>
      </c>
      <c r="G306" s="86">
        <v>1</v>
      </c>
      <c r="H306" s="86">
        <v>1</v>
      </c>
      <c r="I306" s="87">
        <v>642638.642578125</v>
      </c>
      <c r="J306" s="86" t="s">
        <v>235</v>
      </c>
      <c r="K306" s="86" t="s">
        <v>236</v>
      </c>
      <c r="L306" s="86" t="s">
        <v>140</v>
      </c>
      <c r="M306" s="86" t="s">
        <v>734</v>
      </c>
      <c r="N306" s="86" t="s">
        <v>726</v>
      </c>
      <c r="O306" s="86" t="s">
        <v>35</v>
      </c>
    </row>
    <row r="307" spans="1:15" s="129" customFormat="1" x14ac:dyDescent="0.25">
      <c r="A307" s="130">
        <v>4</v>
      </c>
      <c r="B307" s="130">
        <v>4</v>
      </c>
      <c r="C307" s="130" t="s">
        <v>880</v>
      </c>
      <c r="D307" s="130">
        <v>1</v>
      </c>
      <c r="E307" s="130" t="s">
        <v>754</v>
      </c>
      <c r="F307" s="130">
        <v>1</v>
      </c>
      <c r="G307" s="130">
        <v>1</v>
      </c>
      <c r="H307" s="130">
        <v>1</v>
      </c>
      <c r="I307" s="131">
        <v>674834.31005859305</v>
      </c>
      <c r="J307" s="130" t="s">
        <v>241</v>
      </c>
      <c r="K307" s="130" t="s">
        <v>242</v>
      </c>
      <c r="L307" s="130" t="s">
        <v>30</v>
      </c>
      <c r="M307" s="130" t="s">
        <v>732</v>
      </c>
      <c r="N307" s="130" t="s">
        <v>15</v>
      </c>
      <c r="O307" s="130" t="s">
        <v>11</v>
      </c>
    </row>
    <row r="308" spans="1:15" s="218" customFormat="1" x14ac:dyDescent="0.25">
      <c r="A308" s="265">
        <v>4</v>
      </c>
      <c r="B308" s="265">
        <v>4</v>
      </c>
      <c r="C308" s="265" t="s">
        <v>880</v>
      </c>
      <c r="D308" s="265">
        <v>1</v>
      </c>
      <c r="E308" s="265" t="s">
        <v>754</v>
      </c>
      <c r="F308" s="265">
        <v>1</v>
      </c>
      <c r="G308" s="265">
        <v>1</v>
      </c>
      <c r="H308" s="265">
        <v>1</v>
      </c>
      <c r="I308" s="266">
        <v>225.60205078125</v>
      </c>
      <c r="J308" s="265" t="s">
        <v>116</v>
      </c>
      <c r="K308" s="265" t="s">
        <v>117</v>
      </c>
      <c r="L308" s="265" t="s">
        <v>80</v>
      </c>
      <c r="M308" s="265" t="s">
        <v>733</v>
      </c>
      <c r="N308" s="265" t="s">
        <v>728</v>
      </c>
      <c r="O308" s="265" t="s">
        <v>11</v>
      </c>
    </row>
    <row r="309" spans="1:15" s="264" customFormat="1" x14ac:dyDescent="0.25">
      <c r="A309" s="262">
        <v>4</v>
      </c>
      <c r="B309" s="262">
        <v>4</v>
      </c>
      <c r="C309" s="262" t="s">
        <v>880</v>
      </c>
      <c r="D309" s="262">
        <v>1</v>
      </c>
      <c r="E309" s="262" t="s">
        <v>754</v>
      </c>
      <c r="F309" s="262">
        <v>1</v>
      </c>
      <c r="G309" s="262">
        <v>1</v>
      </c>
      <c r="H309" s="262">
        <v>1</v>
      </c>
      <c r="I309" s="263">
        <v>384180.99853515602</v>
      </c>
      <c r="J309" s="262" t="s">
        <v>89</v>
      </c>
      <c r="K309" s="262" t="s">
        <v>90</v>
      </c>
      <c r="L309" s="262" t="s">
        <v>14</v>
      </c>
      <c r="M309" s="262" t="s">
        <v>740</v>
      </c>
      <c r="N309" s="262" t="s">
        <v>727</v>
      </c>
      <c r="O309" s="262" t="s">
        <v>11</v>
      </c>
    </row>
    <row r="310" spans="1:15" s="218" customFormat="1" x14ac:dyDescent="0.25">
      <c r="A310" s="265">
        <v>4</v>
      </c>
      <c r="B310" s="265">
        <v>4</v>
      </c>
      <c r="C310" s="265" t="s">
        <v>880</v>
      </c>
      <c r="D310" s="265">
        <v>1</v>
      </c>
      <c r="E310" s="265" t="s">
        <v>754</v>
      </c>
      <c r="F310" s="265">
        <v>1</v>
      </c>
      <c r="G310" s="265">
        <v>1</v>
      </c>
      <c r="H310" s="265">
        <v>1</v>
      </c>
      <c r="I310" s="266">
        <v>10978.885253906201</v>
      </c>
      <c r="J310" s="265" t="s">
        <v>253</v>
      </c>
      <c r="K310" s="265" t="s">
        <v>254</v>
      </c>
      <c r="L310" s="265" t="s">
        <v>30</v>
      </c>
      <c r="M310" s="265" t="s">
        <v>732</v>
      </c>
      <c r="N310" s="265" t="s">
        <v>728</v>
      </c>
      <c r="O310" s="265" t="s">
        <v>11</v>
      </c>
    </row>
    <row r="311" spans="1:15" s="264" customFormat="1" x14ac:dyDescent="0.25">
      <c r="A311" s="262">
        <v>4</v>
      </c>
      <c r="B311" s="262">
        <v>4</v>
      </c>
      <c r="C311" s="262" t="s">
        <v>880</v>
      </c>
      <c r="D311" s="262">
        <v>1</v>
      </c>
      <c r="E311" s="262" t="s">
        <v>754</v>
      </c>
      <c r="F311" s="262">
        <v>1</v>
      </c>
      <c r="G311" s="262">
        <v>1</v>
      </c>
      <c r="H311" s="262">
        <v>1</v>
      </c>
      <c r="I311" s="263">
        <v>261330.68359375</v>
      </c>
      <c r="J311" s="262" t="s">
        <v>255</v>
      </c>
      <c r="K311" s="262" t="s">
        <v>256</v>
      </c>
      <c r="L311" s="262" t="s">
        <v>30</v>
      </c>
      <c r="M311" s="262" t="s">
        <v>732</v>
      </c>
      <c r="N311" s="262" t="s">
        <v>727</v>
      </c>
      <c r="O311" s="262" t="s">
        <v>11</v>
      </c>
    </row>
    <row r="312" spans="1:15" s="129" customFormat="1" x14ac:dyDescent="0.25">
      <c r="A312" s="130">
        <v>4</v>
      </c>
      <c r="B312" s="130">
        <v>4</v>
      </c>
      <c r="C312" s="130" t="s">
        <v>880</v>
      </c>
      <c r="D312" s="130">
        <v>1</v>
      </c>
      <c r="E312" s="130" t="s">
        <v>754</v>
      </c>
      <c r="F312" s="130">
        <v>1</v>
      </c>
      <c r="G312" s="130">
        <v>1</v>
      </c>
      <c r="H312" s="130">
        <v>1</v>
      </c>
      <c r="I312" s="131">
        <v>4772059.9824218703</v>
      </c>
      <c r="J312" s="130" t="s">
        <v>259</v>
      </c>
      <c r="K312" s="130" t="s">
        <v>260</v>
      </c>
      <c r="L312" s="130" t="s">
        <v>30</v>
      </c>
      <c r="M312" s="130" t="s">
        <v>732</v>
      </c>
      <c r="N312" s="130" t="s">
        <v>15</v>
      </c>
      <c r="O312" s="130" t="s">
        <v>11</v>
      </c>
    </row>
    <row r="313" spans="1:15" s="129" customFormat="1" x14ac:dyDescent="0.25">
      <c r="A313" s="130">
        <v>4</v>
      </c>
      <c r="B313" s="130">
        <v>4</v>
      </c>
      <c r="C313" s="130" t="s">
        <v>880</v>
      </c>
      <c r="D313" s="130">
        <v>1</v>
      </c>
      <c r="E313" s="130" t="s">
        <v>754</v>
      </c>
      <c r="F313" s="130">
        <v>1</v>
      </c>
      <c r="G313" s="130">
        <v>1</v>
      </c>
      <c r="H313" s="130">
        <v>1</v>
      </c>
      <c r="I313" s="131">
        <v>697979.69140625</v>
      </c>
      <c r="J313" s="130" t="s">
        <v>261</v>
      </c>
      <c r="K313" s="130" t="s">
        <v>262</v>
      </c>
      <c r="L313" s="130" t="s">
        <v>27</v>
      </c>
      <c r="M313" s="130" t="s">
        <v>738</v>
      </c>
      <c r="N313" s="130" t="s">
        <v>15</v>
      </c>
      <c r="O313" s="130" t="s">
        <v>11</v>
      </c>
    </row>
    <row r="314" spans="1:15" s="129" customFormat="1" x14ac:dyDescent="0.25">
      <c r="A314" s="130">
        <v>4</v>
      </c>
      <c r="B314" s="130">
        <v>4</v>
      </c>
      <c r="C314" s="130" t="s">
        <v>880</v>
      </c>
      <c r="D314" s="130">
        <v>1</v>
      </c>
      <c r="E314" s="130" t="s">
        <v>754</v>
      </c>
      <c r="F314" s="130">
        <v>1</v>
      </c>
      <c r="G314" s="130">
        <v>1</v>
      </c>
      <c r="H314" s="130">
        <v>1</v>
      </c>
      <c r="I314" s="131">
        <v>1683458.28662109</v>
      </c>
      <c r="J314" s="130" t="s">
        <v>124</v>
      </c>
      <c r="K314" s="130" t="s">
        <v>125</v>
      </c>
      <c r="L314" s="130" t="s">
        <v>30</v>
      </c>
      <c r="M314" s="130" t="s">
        <v>732</v>
      </c>
      <c r="N314" s="130" t="s">
        <v>15</v>
      </c>
      <c r="O314" s="130" t="s">
        <v>11</v>
      </c>
    </row>
    <row r="315" spans="1:15" s="129" customFormat="1" x14ac:dyDescent="0.25">
      <c r="A315" s="130">
        <v>4</v>
      </c>
      <c r="B315" s="130">
        <v>4</v>
      </c>
      <c r="C315" s="130" t="s">
        <v>880</v>
      </c>
      <c r="D315" s="130">
        <v>1</v>
      </c>
      <c r="E315" s="130" t="s">
        <v>754</v>
      </c>
      <c r="F315" s="130">
        <v>1</v>
      </c>
      <c r="G315" s="130">
        <v>1</v>
      </c>
      <c r="H315" s="130">
        <v>1</v>
      </c>
      <c r="I315" s="131">
        <v>301895.11816406198</v>
      </c>
      <c r="J315" s="130" t="s">
        <v>55</v>
      </c>
      <c r="K315" s="130" t="s">
        <v>56</v>
      </c>
      <c r="L315" s="130" t="s">
        <v>14</v>
      </c>
      <c r="M315" s="130" t="s">
        <v>740</v>
      </c>
      <c r="N315" s="130" t="s">
        <v>15</v>
      </c>
      <c r="O315" s="130" t="s">
        <v>11</v>
      </c>
    </row>
    <row r="316" spans="1:15" s="129" customFormat="1" x14ac:dyDescent="0.25">
      <c r="A316" s="130">
        <v>4</v>
      </c>
      <c r="B316" s="130">
        <v>4</v>
      </c>
      <c r="C316" s="130" t="s">
        <v>880</v>
      </c>
      <c r="D316" s="130">
        <v>1</v>
      </c>
      <c r="E316" s="130" t="s">
        <v>754</v>
      </c>
      <c r="F316" s="130">
        <v>1</v>
      </c>
      <c r="G316" s="130">
        <v>1</v>
      </c>
      <c r="H316" s="130">
        <v>1</v>
      </c>
      <c r="I316" s="131">
        <v>2405454.3066406199</v>
      </c>
      <c r="J316" s="130" t="s">
        <v>273</v>
      </c>
      <c r="K316" s="130" t="s">
        <v>274</v>
      </c>
      <c r="L316" s="130" t="s">
        <v>80</v>
      </c>
      <c r="M316" s="130" t="s">
        <v>733</v>
      </c>
      <c r="N316" s="130" t="s">
        <v>15</v>
      </c>
      <c r="O316" s="130" t="s">
        <v>11</v>
      </c>
    </row>
    <row r="317" spans="1:15" s="129" customFormat="1" x14ac:dyDescent="0.25">
      <c r="A317" s="130">
        <v>4</v>
      </c>
      <c r="B317" s="130">
        <v>4</v>
      </c>
      <c r="C317" s="130" t="s">
        <v>880</v>
      </c>
      <c r="D317" s="130">
        <v>1</v>
      </c>
      <c r="E317" s="130" t="s">
        <v>754</v>
      </c>
      <c r="F317" s="130">
        <v>1</v>
      </c>
      <c r="G317" s="130">
        <v>1</v>
      </c>
      <c r="H317" s="130">
        <v>1</v>
      </c>
      <c r="I317" s="131">
        <v>42.08837890625</v>
      </c>
      <c r="J317" s="130" t="s">
        <v>277</v>
      </c>
      <c r="K317" s="130" t="s">
        <v>278</v>
      </c>
      <c r="L317" s="130" t="s">
        <v>46</v>
      </c>
      <c r="M317" s="130" t="s">
        <v>739</v>
      </c>
      <c r="N317" s="130" t="s">
        <v>15</v>
      </c>
      <c r="O317" s="130" t="s">
        <v>11</v>
      </c>
    </row>
    <row r="318" spans="1:15" s="264" customFormat="1" x14ac:dyDescent="0.25">
      <c r="A318" s="262">
        <v>4</v>
      </c>
      <c r="B318" s="262">
        <v>4</v>
      </c>
      <c r="C318" s="262" t="s">
        <v>880</v>
      </c>
      <c r="D318" s="262">
        <v>1</v>
      </c>
      <c r="E318" s="262" t="s">
        <v>754</v>
      </c>
      <c r="F318" s="262">
        <v>1</v>
      </c>
      <c r="G318" s="262">
        <v>1</v>
      </c>
      <c r="H318" s="262">
        <v>1</v>
      </c>
      <c r="I318" s="263">
        <v>1310430.3222656201</v>
      </c>
      <c r="J318" s="262" t="s">
        <v>279</v>
      </c>
      <c r="K318" s="262" t="s">
        <v>280</v>
      </c>
      <c r="L318" s="262" t="s">
        <v>18</v>
      </c>
      <c r="M318" s="262" t="s">
        <v>19</v>
      </c>
      <c r="N318" s="262" t="s">
        <v>727</v>
      </c>
      <c r="O318" s="262" t="s">
        <v>11</v>
      </c>
    </row>
    <row r="319" spans="1:15" s="218" customFormat="1" x14ac:dyDescent="0.25">
      <c r="A319" s="265">
        <v>4</v>
      </c>
      <c r="B319" s="265">
        <v>4</v>
      </c>
      <c r="C319" s="265" t="s">
        <v>880</v>
      </c>
      <c r="D319" s="265">
        <v>1</v>
      </c>
      <c r="E319" s="265" t="s">
        <v>754</v>
      </c>
      <c r="F319" s="265">
        <v>1</v>
      </c>
      <c r="G319" s="265">
        <v>1</v>
      </c>
      <c r="H319" s="265">
        <v>1</v>
      </c>
      <c r="I319" s="266">
        <v>769274.86621093703</v>
      </c>
      <c r="J319" s="265" t="s">
        <v>281</v>
      </c>
      <c r="K319" s="265" t="s">
        <v>282</v>
      </c>
      <c r="L319" s="265" t="s">
        <v>30</v>
      </c>
      <c r="M319" s="265" t="s">
        <v>732</v>
      </c>
      <c r="N319" s="265" t="s">
        <v>728</v>
      </c>
      <c r="O319" s="265" t="s">
        <v>11</v>
      </c>
    </row>
    <row r="320" spans="1:15" s="264" customFormat="1" x14ac:dyDescent="0.25">
      <c r="A320" s="262">
        <v>4</v>
      </c>
      <c r="B320" s="262">
        <v>4</v>
      </c>
      <c r="C320" s="262" t="s">
        <v>880</v>
      </c>
      <c r="D320" s="262">
        <v>1</v>
      </c>
      <c r="E320" s="262" t="s">
        <v>754</v>
      </c>
      <c r="F320" s="262">
        <v>1</v>
      </c>
      <c r="G320" s="262">
        <v>1</v>
      </c>
      <c r="H320" s="262">
        <v>1</v>
      </c>
      <c r="I320" s="263">
        <v>132306.7265625</v>
      </c>
      <c r="J320" s="262" t="s">
        <v>221</v>
      </c>
      <c r="K320" s="262" t="s">
        <v>222</v>
      </c>
      <c r="L320" s="262" t="s">
        <v>80</v>
      </c>
      <c r="M320" s="262" t="s">
        <v>733</v>
      </c>
      <c r="N320" s="262" t="s">
        <v>727</v>
      </c>
      <c r="O320" s="262" t="s">
        <v>11</v>
      </c>
    </row>
    <row r="321" spans="1:15" s="129" customFormat="1" x14ac:dyDescent="0.25">
      <c r="A321" s="130">
        <v>4</v>
      </c>
      <c r="B321" s="130">
        <v>4</v>
      </c>
      <c r="C321" s="130" t="s">
        <v>880</v>
      </c>
      <c r="D321" s="130">
        <v>1</v>
      </c>
      <c r="E321" s="130" t="s">
        <v>754</v>
      </c>
      <c r="F321" s="130">
        <v>1</v>
      </c>
      <c r="G321" s="130">
        <v>1</v>
      </c>
      <c r="H321" s="130">
        <v>1</v>
      </c>
      <c r="I321" s="131">
        <v>3910304.2338867099</v>
      </c>
      <c r="J321" s="130" t="s">
        <v>122</v>
      </c>
      <c r="K321" s="130" t="s">
        <v>123</v>
      </c>
      <c r="L321" s="130" t="s">
        <v>30</v>
      </c>
      <c r="M321" s="130" t="s">
        <v>732</v>
      </c>
      <c r="N321" s="130" t="s">
        <v>15</v>
      </c>
      <c r="O321" s="130" t="s">
        <v>11</v>
      </c>
    </row>
    <row r="322" spans="1:15" s="264" customFormat="1" x14ac:dyDescent="0.25">
      <c r="A322" s="262">
        <v>4</v>
      </c>
      <c r="B322" s="262">
        <v>4</v>
      </c>
      <c r="C322" s="262" t="s">
        <v>880</v>
      </c>
      <c r="D322" s="262">
        <v>1</v>
      </c>
      <c r="E322" s="262" t="s">
        <v>754</v>
      </c>
      <c r="F322" s="262">
        <v>1</v>
      </c>
      <c r="G322" s="262">
        <v>1</v>
      </c>
      <c r="H322" s="262">
        <v>1</v>
      </c>
      <c r="I322" s="263">
        <v>485121.31201171799</v>
      </c>
      <c r="J322" s="262" t="s">
        <v>285</v>
      </c>
      <c r="K322" s="262" t="s">
        <v>286</v>
      </c>
      <c r="L322" s="262" t="s">
        <v>14</v>
      </c>
      <c r="M322" s="262" t="s">
        <v>740</v>
      </c>
      <c r="N322" s="262" t="s">
        <v>727</v>
      </c>
      <c r="O322" s="262" t="s">
        <v>11</v>
      </c>
    </row>
    <row r="323" spans="1:15" s="129" customFormat="1" x14ac:dyDescent="0.25">
      <c r="A323" s="130">
        <v>4</v>
      </c>
      <c r="B323" s="130">
        <v>4</v>
      </c>
      <c r="C323" s="130" t="s">
        <v>880</v>
      </c>
      <c r="D323" s="130">
        <v>1</v>
      </c>
      <c r="E323" s="130" t="s">
        <v>754</v>
      </c>
      <c r="F323" s="130">
        <v>1</v>
      </c>
      <c r="G323" s="130">
        <v>1</v>
      </c>
      <c r="H323" s="130">
        <v>1</v>
      </c>
      <c r="I323" s="131">
        <v>132698.65869140599</v>
      </c>
      <c r="J323" s="130" t="s">
        <v>221</v>
      </c>
      <c r="K323" s="130" t="s">
        <v>222</v>
      </c>
      <c r="L323" s="130" t="s">
        <v>80</v>
      </c>
      <c r="M323" s="130" t="s">
        <v>733</v>
      </c>
      <c r="N323" s="130" t="s">
        <v>15</v>
      </c>
      <c r="O323" s="130" t="s">
        <v>11</v>
      </c>
    </row>
    <row r="324" spans="1:15" s="218" customFormat="1" x14ac:dyDescent="0.25">
      <c r="A324" s="265">
        <v>4</v>
      </c>
      <c r="B324" s="265">
        <v>4</v>
      </c>
      <c r="C324" s="265" t="s">
        <v>880</v>
      </c>
      <c r="D324" s="265">
        <v>1</v>
      </c>
      <c r="E324" s="265" t="s">
        <v>754</v>
      </c>
      <c r="F324" s="265">
        <v>1</v>
      </c>
      <c r="G324" s="265">
        <v>1</v>
      </c>
      <c r="H324" s="265">
        <v>1</v>
      </c>
      <c r="I324" s="266">
        <v>372712.03271484299</v>
      </c>
      <c r="J324" s="265" t="s">
        <v>145</v>
      </c>
      <c r="K324" s="265" t="s">
        <v>146</v>
      </c>
      <c r="L324" s="265" t="s">
        <v>14</v>
      </c>
      <c r="M324" s="265" t="s">
        <v>740</v>
      </c>
      <c r="N324" s="265" t="s">
        <v>728</v>
      </c>
      <c r="O324" s="265" t="s">
        <v>11</v>
      </c>
    </row>
    <row r="325" spans="1:15" s="218" customFormat="1" x14ac:dyDescent="0.25">
      <c r="A325" s="265">
        <v>4</v>
      </c>
      <c r="B325" s="265">
        <v>4</v>
      </c>
      <c r="C325" s="265" t="s">
        <v>880</v>
      </c>
      <c r="D325" s="265">
        <v>1</v>
      </c>
      <c r="E325" s="265" t="s">
        <v>754</v>
      </c>
      <c r="F325" s="265">
        <v>1</v>
      </c>
      <c r="G325" s="265">
        <v>1</v>
      </c>
      <c r="H325" s="265">
        <v>1</v>
      </c>
      <c r="I325" s="266">
        <v>739143.68603515602</v>
      </c>
      <c r="J325" s="265" t="s">
        <v>16</v>
      </c>
      <c r="K325" s="265" t="s">
        <v>17</v>
      </c>
      <c r="L325" s="265" t="s">
        <v>18</v>
      </c>
      <c r="M325" s="265" t="s">
        <v>19</v>
      </c>
      <c r="N325" s="265" t="s">
        <v>728</v>
      </c>
      <c r="O325" s="265" t="s">
        <v>11</v>
      </c>
    </row>
    <row r="326" spans="1:15" s="264" customFormat="1" x14ac:dyDescent="0.25">
      <c r="A326" s="262">
        <v>4</v>
      </c>
      <c r="B326" s="262">
        <v>4</v>
      </c>
      <c r="C326" s="262" t="s">
        <v>880</v>
      </c>
      <c r="D326" s="262">
        <v>1</v>
      </c>
      <c r="E326" s="262" t="s">
        <v>754</v>
      </c>
      <c r="F326" s="262">
        <v>1</v>
      </c>
      <c r="G326" s="262">
        <v>1</v>
      </c>
      <c r="H326" s="262">
        <v>1</v>
      </c>
      <c r="I326" s="263">
        <v>8349.4794921875</v>
      </c>
      <c r="J326" s="262" t="s">
        <v>299</v>
      </c>
      <c r="K326" s="262" t="s">
        <v>300</v>
      </c>
      <c r="L326" s="262" t="s">
        <v>80</v>
      </c>
      <c r="M326" s="262" t="s">
        <v>733</v>
      </c>
      <c r="N326" s="262" t="s">
        <v>727</v>
      </c>
      <c r="O326" s="262" t="s">
        <v>11</v>
      </c>
    </row>
    <row r="327" spans="1:15" s="264" customFormat="1" x14ac:dyDescent="0.25">
      <c r="A327" s="262">
        <v>4</v>
      </c>
      <c r="B327" s="262">
        <v>4</v>
      </c>
      <c r="C327" s="262" t="s">
        <v>880</v>
      </c>
      <c r="D327" s="262">
        <v>1</v>
      </c>
      <c r="E327" s="262" t="s">
        <v>754</v>
      </c>
      <c r="F327" s="262">
        <v>1</v>
      </c>
      <c r="G327" s="262">
        <v>1</v>
      </c>
      <c r="H327" s="262">
        <v>1</v>
      </c>
      <c r="I327" s="263">
        <v>135881.97314453099</v>
      </c>
      <c r="J327" s="262" t="s">
        <v>199</v>
      </c>
      <c r="K327" s="262" t="s">
        <v>200</v>
      </c>
      <c r="L327" s="262" t="s">
        <v>14</v>
      </c>
      <c r="M327" s="262" t="s">
        <v>740</v>
      </c>
      <c r="N327" s="262" t="s">
        <v>727</v>
      </c>
      <c r="O327" s="262" t="s">
        <v>11</v>
      </c>
    </row>
    <row r="328" spans="1:15" s="264" customFormat="1" x14ac:dyDescent="0.25">
      <c r="A328" s="262">
        <v>4</v>
      </c>
      <c r="B328" s="262">
        <v>4</v>
      </c>
      <c r="C328" s="262" t="s">
        <v>880</v>
      </c>
      <c r="D328" s="262">
        <v>1</v>
      </c>
      <c r="E328" s="262" t="s">
        <v>754</v>
      </c>
      <c r="F328" s="262">
        <v>1</v>
      </c>
      <c r="G328" s="262">
        <v>1</v>
      </c>
      <c r="H328" s="262">
        <v>1</v>
      </c>
      <c r="I328" s="263">
        <v>162989.611328125</v>
      </c>
      <c r="J328" s="262" t="s">
        <v>93</v>
      </c>
      <c r="K328" s="262" t="s">
        <v>94</v>
      </c>
      <c r="L328" s="262" t="s">
        <v>30</v>
      </c>
      <c r="M328" s="262" t="s">
        <v>732</v>
      </c>
      <c r="N328" s="262" t="s">
        <v>727</v>
      </c>
      <c r="O328" s="262" t="s">
        <v>11</v>
      </c>
    </row>
    <row r="329" spans="1:15" s="129" customFormat="1" x14ac:dyDescent="0.25">
      <c r="A329" s="130">
        <v>4</v>
      </c>
      <c r="B329" s="130">
        <v>4</v>
      </c>
      <c r="C329" s="130" t="s">
        <v>880</v>
      </c>
      <c r="D329" s="130">
        <v>1</v>
      </c>
      <c r="E329" s="130" t="s">
        <v>754</v>
      </c>
      <c r="F329" s="130">
        <v>1</v>
      </c>
      <c r="G329" s="130">
        <v>1</v>
      </c>
      <c r="H329" s="130">
        <v>1</v>
      </c>
      <c r="I329" s="131">
        <v>1005847.75341796</v>
      </c>
      <c r="J329" s="130" t="s">
        <v>301</v>
      </c>
      <c r="K329" s="130" t="s">
        <v>302</v>
      </c>
      <c r="L329" s="130" t="s">
        <v>14</v>
      </c>
      <c r="M329" s="130" t="s">
        <v>740</v>
      </c>
      <c r="N329" s="130" t="s">
        <v>15</v>
      </c>
      <c r="O329" s="130" t="s">
        <v>11</v>
      </c>
    </row>
    <row r="330" spans="1:15" s="218" customFormat="1" x14ac:dyDescent="0.25">
      <c r="A330" s="265">
        <v>4</v>
      </c>
      <c r="B330" s="265">
        <v>4</v>
      </c>
      <c r="C330" s="265" t="s">
        <v>880</v>
      </c>
      <c r="D330" s="265">
        <v>1</v>
      </c>
      <c r="E330" s="265" t="s">
        <v>754</v>
      </c>
      <c r="F330" s="265">
        <v>1</v>
      </c>
      <c r="G330" s="265">
        <v>1</v>
      </c>
      <c r="H330" s="265">
        <v>1</v>
      </c>
      <c r="I330" s="266">
        <v>645110.43505859305</v>
      </c>
      <c r="J330" s="265" t="s">
        <v>303</v>
      </c>
      <c r="K330" s="265" t="s">
        <v>304</v>
      </c>
      <c r="L330" s="265" t="s">
        <v>30</v>
      </c>
      <c r="M330" s="265" t="s">
        <v>732</v>
      </c>
      <c r="N330" s="265" t="s">
        <v>728</v>
      </c>
      <c r="O330" s="265" t="s">
        <v>11</v>
      </c>
    </row>
    <row r="331" spans="1:15" s="129" customFormat="1" x14ac:dyDescent="0.25">
      <c r="A331" s="130">
        <v>4</v>
      </c>
      <c r="B331" s="130">
        <v>4</v>
      </c>
      <c r="C331" s="130" t="s">
        <v>880</v>
      </c>
      <c r="D331" s="130">
        <v>1</v>
      </c>
      <c r="E331" s="130" t="s">
        <v>754</v>
      </c>
      <c r="F331" s="130">
        <v>1</v>
      </c>
      <c r="G331" s="130">
        <v>1</v>
      </c>
      <c r="H331" s="130">
        <v>1</v>
      </c>
      <c r="I331" s="131">
        <v>3006285.1489257799</v>
      </c>
      <c r="J331" s="130" t="s">
        <v>169</v>
      </c>
      <c r="K331" s="130" t="s">
        <v>170</v>
      </c>
      <c r="L331" s="130" t="s">
        <v>80</v>
      </c>
      <c r="M331" s="130" t="s">
        <v>733</v>
      </c>
      <c r="N331" s="130" t="s">
        <v>15</v>
      </c>
      <c r="O331" s="130" t="s">
        <v>11</v>
      </c>
    </row>
    <row r="332" spans="1:15" s="218" customFormat="1" x14ac:dyDescent="0.25">
      <c r="A332" s="265">
        <v>4</v>
      </c>
      <c r="B332" s="265">
        <v>4</v>
      </c>
      <c r="C332" s="265" t="s">
        <v>880</v>
      </c>
      <c r="D332" s="265">
        <v>1</v>
      </c>
      <c r="E332" s="265" t="s">
        <v>754</v>
      </c>
      <c r="F332" s="265">
        <v>1</v>
      </c>
      <c r="G332" s="265">
        <v>1</v>
      </c>
      <c r="H332" s="265">
        <v>1</v>
      </c>
      <c r="I332" s="266">
        <v>389728.20996093698</v>
      </c>
      <c r="J332" s="265" t="s">
        <v>307</v>
      </c>
      <c r="K332" s="265" t="s">
        <v>308</v>
      </c>
      <c r="L332" s="265" t="s">
        <v>80</v>
      </c>
      <c r="M332" s="265" t="s">
        <v>733</v>
      </c>
      <c r="N332" s="265" t="s">
        <v>728</v>
      </c>
      <c r="O332" s="265" t="s">
        <v>11</v>
      </c>
    </row>
    <row r="333" spans="1:15" s="218" customFormat="1" x14ac:dyDescent="0.25">
      <c r="A333" s="265">
        <v>4</v>
      </c>
      <c r="B333" s="265">
        <v>4</v>
      </c>
      <c r="C333" s="265" t="s">
        <v>880</v>
      </c>
      <c r="D333" s="265">
        <v>1</v>
      </c>
      <c r="E333" s="265" t="s">
        <v>754</v>
      </c>
      <c r="F333" s="265">
        <v>1</v>
      </c>
      <c r="G333" s="265">
        <v>1</v>
      </c>
      <c r="H333" s="265">
        <v>1</v>
      </c>
      <c r="I333" s="266">
        <v>257112.01171875</v>
      </c>
      <c r="J333" s="265" t="s">
        <v>201</v>
      </c>
      <c r="K333" s="265" t="s">
        <v>202</v>
      </c>
      <c r="L333" s="265" t="s">
        <v>80</v>
      </c>
      <c r="M333" s="265" t="s">
        <v>733</v>
      </c>
      <c r="N333" s="265" t="s">
        <v>728</v>
      </c>
      <c r="O333" s="265" t="s">
        <v>11</v>
      </c>
    </row>
    <row r="334" spans="1:15" s="129" customFormat="1" x14ac:dyDescent="0.25">
      <c r="A334" s="130">
        <v>4</v>
      </c>
      <c r="B334" s="130">
        <v>4</v>
      </c>
      <c r="C334" s="130" t="s">
        <v>880</v>
      </c>
      <c r="D334" s="130">
        <v>1</v>
      </c>
      <c r="E334" s="130" t="s">
        <v>754</v>
      </c>
      <c r="F334" s="130">
        <v>1</v>
      </c>
      <c r="G334" s="130">
        <v>1</v>
      </c>
      <c r="H334" s="130">
        <v>1</v>
      </c>
      <c r="I334" s="131">
        <v>1783949.02246093</v>
      </c>
      <c r="J334" s="130" t="s">
        <v>205</v>
      </c>
      <c r="K334" s="130" t="s">
        <v>206</v>
      </c>
      <c r="L334" s="130" t="s">
        <v>14</v>
      </c>
      <c r="M334" s="130" t="s">
        <v>740</v>
      </c>
      <c r="N334" s="130" t="s">
        <v>15</v>
      </c>
      <c r="O334" s="130" t="s">
        <v>741</v>
      </c>
    </row>
    <row r="335" spans="1:15" s="28" customFormat="1" x14ac:dyDescent="0.25">
      <c r="A335" s="86">
        <v>4</v>
      </c>
      <c r="B335" s="86">
        <v>4</v>
      </c>
      <c r="C335" s="86" t="s">
        <v>880</v>
      </c>
      <c r="D335" s="86">
        <v>1</v>
      </c>
      <c r="E335" s="86" t="s">
        <v>754</v>
      </c>
      <c r="F335" s="86">
        <v>1</v>
      </c>
      <c r="G335" s="86">
        <v>1</v>
      </c>
      <c r="H335" s="86">
        <v>1</v>
      </c>
      <c r="I335" s="87">
        <v>502998.42675781198</v>
      </c>
      <c r="J335" s="86" t="s">
        <v>311</v>
      </c>
      <c r="K335" s="86" t="s">
        <v>312</v>
      </c>
      <c r="L335" s="86" t="s">
        <v>140</v>
      </c>
      <c r="M335" s="86" t="s">
        <v>734</v>
      </c>
      <c r="N335" s="86" t="s">
        <v>726</v>
      </c>
      <c r="O335" s="86" t="s">
        <v>35</v>
      </c>
    </row>
    <row r="336" spans="1:15" s="218" customFormat="1" x14ac:dyDescent="0.25">
      <c r="A336" s="265">
        <v>4</v>
      </c>
      <c r="B336" s="265">
        <v>4</v>
      </c>
      <c r="C336" s="265" t="s">
        <v>880</v>
      </c>
      <c r="D336" s="265">
        <v>1</v>
      </c>
      <c r="E336" s="265" t="s">
        <v>754</v>
      </c>
      <c r="F336" s="265">
        <v>1</v>
      </c>
      <c r="G336" s="265">
        <v>1</v>
      </c>
      <c r="H336" s="265">
        <v>1</v>
      </c>
      <c r="I336" s="266">
        <v>408109.32958984299</v>
      </c>
      <c r="J336" s="265" t="s">
        <v>217</v>
      </c>
      <c r="K336" s="265" t="s">
        <v>218</v>
      </c>
      <c r="L336" s="265" t="s">
        <v>30</v>
      </c>
      <c r="M336" s="265" t="s">
        <v>732</v>
      </c>
      <c r="N336" s="265" t="s">
        <v>728</v>
      </c>
      <c r="O336" s="265" t="s">
        <v>11</v>
      </c>
    </row>
    <row r="337" spans="1:15" s="218" customFormat="1" x14ac:dyDescent="0.25">
      <c r="A337" s="265">
        <v>4</v>
      </c>
      <c r="B337" s="265">
        <v>4</v>
      </c>
      <c r="C337" s="265" t="s">
        <v>880</v>
      </c>
      <c r="D337" s="265">
        <v>1</v>
      </c>
      <c r="E337" s="265" t="s">
        <v>754</v>
      </c>
      <c r="F337" s="265">
        <v>1</v>
      </c>
      <c r="G337" s="265">
        <v>1</v>
      </c>
      <c r="H337" s="265">
        <v>1</v>
      </c>
      <c r="I337" s="266">
        <v>211010.80908203099</v>
      </c>
      <c r="J337" s="265" t="s">
        <v>329</v>
      </c>
      <c r="K337" s="265" t="s">
        <v>330</v>
      </c>
      <c r="L337" s="265" t="s">
        <v>30</v>
      </c>
      <c r="M337" s="265" t="s">
        <v>732</v>
      </c>
      <c r="N337" s="265" t="s">
        <v>728</v>
      </c>
      <c r="O337" s="265" t="s">
        <v>11</v>
      </c>
    </row>
    <row r="338" spans="1:15" s="218" customFormat="1" x14ac:dyDescent="0.25">
      <c r="A338" s="265">
        <v>4</v>
      </c>
      <c r="B338" s="265">
        <v>4</v>
      </c>
      <c r="C338" s="265" t="s">
        <v>880</v>
      </c>
      <c r="D338" s="265">
        <v>1</v>
      </c>
      <c r="E338" s="265" t="s">
        <v>754</v>
      </c>
      <c r="F338" s="265">
        <v>1</v>
      </c>
      <c r="G338" s="265">
        <v>1</v>
      </c>
      <c r="H338" s="265">
        <v>1</v>
      </c>
      <c r="I338" s="266">
        <v>624690.29052734305</v>
      </c>
      <c r="J338" s="265" t="s">
        <v>331</v>
      </c>
      <c r="K338" s="265" t="s">
        <v>332</v>
      </c>
      <c r="L338" s="265" t="s">
        <v>18</v>
      </c>
      <c r="M338" s="265" t="s">
        <v>19</v>
      </c>
      <c r="N338" s="265" t="s">
        <v>728</v>
      </c>
      <c r="O338" s="265" t="s">
        <v>11</v>
      </c>
    </row>
    <row r="339" spans="1:15" s="129" customFormat="1" x14ac:dyDescent="0.25">
      <c r="A339" s="130">
        <v>4</v>
      </c>
      <c r="B339" s="130">
        <v>4</v>
      </c>
      <c r="C339" s="130" t="s">
        <v>880</v>
      </c>
      <c r="D339" s="130">
        <v>1</v>
      </c>
      <c r="E339" s="130" t="s">
        <v>754</v>
      </c>
      <c r="F339" s="130">
        <v>1</v>
      </c>
      <c r="G339" s="130">
        <v>1</v>
      </c>
      <c r="H339" s="130">
        <v>1</v>
      </c>
      <c r="I339" s="131">
        <v>2554873.7089843699</v>
      </c>
      <c r="J339" s="130" t="s">
        <v>335</v>
      </c>
      <c r="K339" s="130" t="s">
        <v>336</v>
      </c>
      <c r="L339" s="130" t="s">
        <v>80</v>
      </c>
      <c r="M339" s="130" t="s">
        <v>733</v>
      </c>
      <c r="N339" s="130" t="s">
        <v>15</v>
      </c>
      <c r="O339" s="130" t="s">
        <v>11</v>
      </c>
    </row>
    <row r="340" spans="1:15" s="218" customFormat="1" x14ac:dyDescent="0.25">
      <c r="A340" s="265">
        <v>4</v>
      </c>
      <c r="B340" s="265">
        <v>4</v>
      </c>
      <c r="C340" s="265" t="s">
        <v>880</v>
      </c>
      <c r="D340" s="265">
        <v>1</v>
      </c>
      <c r="E340" s="265" t="s">
        <v>754</v>
      </c>
      <c r="F340" s="265">
        <v>1</v>
      </c>
      <c r="G340" s="265">
        <v>1</v>
      </c>
      <c r="H340" s="265">
        <v>1</v>
      </c>
      <c r="I340" s="266">
        <v>1484.6337890625</v>
      </c>
      <c r="J340" s="265" t="s">
        <v>299</v>
      </c>
      <c r="K340" s="265" t="s">
        <v>300</v>
      </c>
      <c r="L340" s="265" t="s">
        <v>80</v>
      </c>
      <c r="M340" s="265" t="s">
        <v>733</v>
      </c>
      <c r="N340" s="265" t="s">
        <v>728</v>
      </c>
      <c r="O340" s="265" t="s">
        <v>11</v>
      </c>
    </row>
    <row r="341" spans="1:15" s="218" customFormat="1" x14ac:dyDescent="0.25">
      <c r="A341" s="265">
        <v>4</v>
      </c>
      <c r="B341" s="265">
        <v>4</v>
      </c>
      <c r="C341" s="265" t="s">
        <v>880</v>
      </c>
      <c r="D341" s="265">
        <v>1</v>
      </c>
      <c r="E341" s="265" t="s">
        <v>754</v>
      </c>
      <c r="F341" s="265">
        <v>1</v>
      </c>
      <c r="G341" s="265">
        <v>1</v>
      </c>
      <c r="H341" s="265">
        <v>1</v>
      </c>
      <c r="I341" s="266">
        <v>178357.53027343701</v>
      </c>
      <c r="J341" s="265" t="s">
        <v>347</v>
      </c>
      <c r="K341" s="265" t="s">
        <v>348</v>
      </c>
      <c r="L341" s="265" t="s">
        <v>18</v>
      </c>
      <c r="M341" s="265" t="s">
        <v>19</v>
      </c>
      <c r="N341" s="265" t="s">
        <v>728</v>
      </c>
      <c r="O341" s="265" t="s">
        <v>11</v>
      </c>
    </row>
    <row r="342" spans="1:15" s="129" customFormat="1" x14ac:dyDescent="0.25">
      <c r="A342" s="130">
        <v>4</v>
      </c>
      <c r="B342" s="130">
        <v>4</v>
      </c>
      <c r="C342" s="130" t="s">
        <v>880</v>
      </c>
      <c r="D342" s="130">
        <v>1</v>
      </c>
      <c r="E342" s="130" t="s">
        <v>754</v>
      </c>
      <c r="F342" s="130">
        <v>1</v>
      </c>
      <c r="G342" s="130">
        <v>1</v>
      </c>
      <c r="H342" s="130">
        <v>1</v>
      </c>
      <c r="I342" s="131">
        <v>230790.185546875</v>
      </c>
      <c r="J342" s="130" t="s">
        <v>349</v>
      </c>
      <c r="K342" s="130" t="s">
        <v>350</v>
      </c>
      <c r="L342" s="130" t="s">
        <v>30</v>
      </c>
      <c r="M342" s="130" t="s">
        <v>732</v>
      </c>
      <c r="N342" s="130" t="s">
        <v>15</v>
      </c>
      <c r="O342" s="130" t="s">
        <v>11</v>
      </c>
    </row>
    <row r="343" spans="1:15" s="264" customFormat="1" x14ac:dyDescent="0.25">
      <c r="A343" s="262">
        <v>4</v>
      </c>
      <c r="B343" s="262">
        <v>4</v>
      </c>
      <c r="C343" s="262" t="s">
        <v>880</v>
      </c>
      <c r="D343" s="262">
        <v>1</v>
      </c>
      <c r="E343" s="262" t="s">
        <v>754</v>
      </c>
      <c r="F343" s="262">
        <v>1</v>
      </c>
      <c r="G343" s="262">
        <v>1</v>
      </c>
      <c r="H343" s="262">
        <v>1</v>
      </c>
      <c r="I343" s="263">
        <v>2758950.4438476502</v>
      </c>
      <c r="J343" s="262" t="s">
        <v>351</v>
      </c>
      <c r="K343" s="262" t="s">
        <v>352</v>
      </c>
      <c r="L343" s="262" t="s">
        <v>14</v>
      </c>
      <c r="M343" s="262" t="s">
        <v>740</v>
      </c>
      <c r="N343" s="262" t="s">
        <v>727</v>
      </c>
      <c r="O343" s="262" t="s">
        <v>741</v>
      </c>
    </row>
    <row r="344" spans="1:15" s="129" customFormat="1" x14ac:dyDescent="0.25">
      <c r="A344" s="130">
        <v>4</v>
      </c>
      <c r="B344" s="130">
        <v>4</v>
      </c>
      <c r="C344" s="130" t="s">
        <v>880</v>
      </c>
      <c r="D344" s="130">
        <v>1</v>
      </c>
      <c r="E344" s="130" t="s">
        <v>754</v>
      </c>
      <c r="F344" s="130">
        <v>1</v>
      </c>
      <c r="G344" s="130">
        <v>1</v>
      </c>
      <c r="H344" s="130">
        <v>1</v>
      </c>
      <c r="I344" s="131">
        <v>375095.04833984299</v>
      </c>
      <c r="J344" s="130" t="s">
        <v>355</v>
      </c>
      <c r="K344" s="130" t="s">
        <v>356</v>
      </c>
      <c r="L344" s="130" t="s">
        <v>30</v>
      </c>
      <c r="M344" s="130" t="s">
        <v>732</v>
      </c>
      <c r="N344" s="130" t="s">
        <v>15</v>
      </c>
      <c r="O344" s="130" t="s">
        <v>11</v>
      </c>
    </row>
    <row r="345" spans="1:15" s="129" customFormat="1" x14ac:dyDescent="0.25">
      <c r="A345" s="130">
        <v>4</v>
      </c>
      <c r="B345" s="130">
        <v>4</v>
      </c>
      <c r="C345" s="130" t="s">
        <v>880</v>
      </c>
      <c r="D345" s="130">
        <v>1</v>
      </c>
      <c r="E345" s="130" t="s">
        <v>754</v>
      </c>
      <c r="F345" s="130">
        <v>1</v>
      </c>
      <c r="G345" s="130">
        <v>1</v>
      </c>
      <c r="H345" s="130">
        <v>1</v>
      </c>
      <c r="I345" s="131">
        <v>4603974.25683593</v>
      </c>
      <c r="J345" s="130" t="s">
        <v>357</v>
      </c>
      <c r="K345" s="130" t="s">
        <v>358</v>
      </c>
      <c r="L345" s="130" t="s">
        <v>14</v>
      </c>
      <c r="M345" s="130" t="s">
        <v>740</v>
      </c>
      <c r="N345" s="130" t="s">
        <v>15</v>
      </c>
      <c r="O345" s="130" t="s">
        <v>11</v>
      </c>
    </row>
    <row r="346" spans="1:15" s="264" customFormat="1" x14ac:dyDescent="0.25">
      <c r="A346" s="262">
        <v>4</v>
      </c>
      <c r="B346" s="262">
        <v>4</v>
      </c>
      <c r="C346" s="262" t="s">
        <v>880</v>
      </c>
      <c r="D346" s="262">
        <v>1</v>
      </c>
      <c r="E346" s="262" t="s">
        <v>754</v>
      </c>
      <c r="F346" s="262">
        <v>1</v>
      </c>
      <c r="G346" s="262">
        <v>1</v>
      </c>
      <c r="H346" s="262">
        <v>1</v>
      </c>
      <c r="I346" s="263">
        <v>3783.28955078125</v>
      </c>
      <c r="J346" s="262" t="s">
        <v>359</v>
      </c>
      <c r="K346" s="262" t="s">
        <v>360</v>
      </c>
      <c r="L346" s="262" t="s">
        <v>30</v>
      </c>
      <c r="M346" s="262" t="s">
        <v>732</v>
      </c>
      <c r="N346" s="262" t="s">
        <v>727</v>
      </c>
      <c r="O346" s="262" t="s">
        <v>11</v>
      </c>
    </row>
    <row r="347" spans="1:15" s="129" customFormat="1" x14ac:dyDescent="0.25">
      <c r="A347" s="130">
        <v>4</v>
      </c>
      <c r="B347" s="130">
        <v>4</v>
      </c>
      <c r="C347" s="130" t="s">
        <v>880</v>
      </c>
      <c r="D347" s="130">
        <v>1</v>
      </c>
      <c r="E347" s="130" t="s">
        <v>754</v>
      </c>
      <c r="F347" s="130">
        <v>1</v>
      </c>
      <c r="G347" s="130">
        <v>1</v>
      </c>
      <c r="H347" s="130">
        <v>1</v>
      </c>
      <c r="I347" s="131">
        <v>363860.80908203102</v>
      </c>
      <c r="J347" s="130" t="s">
        <v>363</v>
      </c>
      <c r="K347" s="130" t="s">
        <v>364</v>
      </c>
      <c r="L347" s="130" t="s">
        <v>18</v>
      </c>
      <c r="M347" s="130" t="s">
        <v>19</v>
      </c>
      <c r="N347" s="130" t="s">
        <v>15</v>
      </c>
      <c r="O347" s="130" t="s">
        <v>11</v>
      </c>
    </row>
    <row r="348" spans="1:15" s="28" customFormat="1" x14ac:dyDescent="0.25">
      <c r="A348" s="86">
        <v>4</v>
      </c>
      <c r="B348" s="86">
        <v>4</v>
      </c>
      <c r="C348" s="86" t="s">
        <v>880</v>
      </c>
      <c r="D348" s="86">
        <v>1</v>
      </c>
      <c r="E348" s="86" t="s">
        <v>754</v>
      </c>
      <c r="F348" s="86">
        <v>1</v>
      </c>
      <c r="G348" s="86">
        <v>1</v>
      </c>
      <c r="H348" s="86">
        <v>1</v>
      </c>
      <c r="I348" s="87">
        <v>319013.64404296799</v>
      </c>
      <c r="J348" s="86" t="s">
        <v>365</v>
      </c>
      <c r="K348" s="86" t="s">
        <v>366</v>
      </c>
      <c r="L348" s="86" t="s">
        <v>140</v>
      </c>
      <c r="M348" s="86" t="s">
        <v>734</v>
      </c>
      <c r="N348" s="86" t="s">
        <v>726</v>
      </c>
      <c r="O348" s="86" t="s">
        <v>35</v>
      </c>
    </row>
    <row r="349" spans="1:15" s="129" customFormat="1" x14ac:dyDescent="0.25">
      <c r="A349" s="130">
        <v>4</v>
      </c>
      <c r="B349" s="130">
        <v>4</v>
      </c>
      <c r="C349" s="130" t="s">
        <v>880</v>
      </c>
      <c r="D349" s="130">
        <v>1</v>
      </c>
      <c r="E349" s="130" t="s">
        <v>754</v>
      </c>
      <c r="F349" s="130">
        <v>1</v>
      </c>
      <c r="G349" s="130">
        <v>1</v>
      </c>
      <c r="H349" s="130">
        <v>1</v>
      </c>
      <c r="I349" s="131">
        <v>311990.75</v>
      </c>
      <c r="J349" s="130" t="s">
        <v>199</v>
      </c>
      <c r="K349" s="130" t="s">
        <v>200</v>
      </c>
      <c r="L349" s="130" t="s">
        <v>14</v>
      </c>
      <c r="M349" s="130" t="s">
        <v>740</v>
      </c>
      <c r="N349" s="130" t="s">
        <v>15</v>
      </c>
      <c r="O349" s="130" t="s">
        <v>11</v>
      </c>
    </row>
    <row r="350" spans="1:15" s="269" customFormat="1" x14ac:dyDescent="0.25">
      <c r="A350" s="267">
        <v>4</v>
      </c>
      <c r="B350" s="267">
        <v>4</v>
      </c>
      <c r="C350" s="267" t="s">
        <v>880</v>
      </c>
      <c r="D350" s="267">
        <v>1</v>
      </c>
      <c r="E350" s="267" t="s">
        <v>754</v>
      </c>
      <c r="F350" s="267">
        <v>1</v>
      </c>
      <c r="G350" s="267">
        <v>1</v>
      </c>
      <c r="H350" s="267">
        <v>1</v>
      </c>
      <c r="I350" s="268">
        <v>78998.392578125</v>
      </c>
      <c r="J350" s="267" t="s">
        <v>369</v>
      </c>
      <c r="K350" s="267" t="s">
        <v>370</v>
      </c>
      <c r="L350" s="267" t="s">
        <v>14</v>
      </c>
      <c r="M350" s="267" t="s">
        <v>740</v>
      </c>
      <c r="N350" s="267" t="s">
        <v>729</v>
      </c>
      <c r="O350" s="267" t="s">
        <v>741</v>
      </c>
    </row>
    <row r="351" spans="1:15" s="264" customFormat="1" x14ac:dyDescent="0.25">
      <c r="A351" s="262">
        <v>4</v>
      </c>
      <c r="B351" s="262">
        <v>4</v>
      </c>
      <c r="C351" s="262" t="s">
        <v>880</v>
      </c>
      <c r="D351" s="262">
        <v>1</v>
      </c>
      <c r="E351" s="262" t="s">
        <v>754</v>
      </c>
      <c r="F351" s="262">
        <v>1</v>
      </c>
      <c r="G351" s="262">
        <v>1</v>
      </c>
      <c r="H351" s="262">
        <v>1</v>
      </c>
      <c r="I351" s="263">
        <v>5.79736328125</v>
      </c>
      <c r="J351" s="262" t="s">
        <v>373</v>
      </c>
      <c r="K351" s="262" t="s">
        <v>374</v>
      </c>
      <c r="L351" s="262" t="s">
        <v>14</v>
      </c>
      <c r="M351" s="262" t="s">
        <v>740</v>
      </c>
      <c r="N351" s="262" t="s">
        <v>727</v>
      </c>
      <c r="O351" s="262" t="s">
        <v>11</v>
      </c>
    </row>
    <row r="352" spans="1:15" s="218" customFormat="1" x14ac:dyDescent="0.25">
      <c r="A352" s="265">
        <v>4</v>
      </c>
      <c r="B352" s="265">
        <v>4</v>
      </c>
      <c r="C352" s="265" t="s">
        <v>880</v>
      </c>
      <c r="D352" s="265">
        <v>1</v>
      </c>
      <c r="E352" s="265" t="s">
        <v>754</v>
      </c>
      <c r="F352" s="265">
        <v>1</v>
      </c>
      <c r="G352" s="265">
        <v>1</v>
      </c>
      <c r="H352" s="265">
        <v>1</v>
      </c>
      <c r="I352" s="266">
        <v>407902.28808593698</v>
      </c>
      <c r="J352" s="265" t="s">
        <v>47</v>
      </c>
      <c r="K352" s="265" t="s">
        <v>48</v>
      </c>
      <c r="L352" s="265" t="s">
        <v>30</v>
      </c>
      <c r="M352" s="265" t="s">
        <v>732</v>
      </c>
      <c r="N352" s="265" t="s">
        <v>728</v>
      </c>
      <c r="O352" s="265" t="s">
        <v>11</v>
      </c>
    </row>
    <row r="353" spans="1:15" s="218" customFormat="1" x14ac:dyDescent="0.25">
      <c r="A353" s="265">
        <v>4</v>
      </c>
      <c r="B353" s="265">
        <v>4</v>
      </c>
      <c r="C353" s="265" t="s">
        <v>880</v>
      </c>
      <c r="D353" s="265">
        <v>1</v>
      </c>
      <c r="E353" s="265" t="s">
        <v>754</v>
      </c>
      <c r="F353" s="265">
        <v>1</v>
      </c>
      <c r="G353" s="265">
        <v>1</v>
      </c>
      <c r="H353" s="265">
        <v>1</v>
      </c>
      <c r="I353" s="266">
        <v>390255.18212890602</v>
      </c>
      <c r="J353" s="265" t="s">
        <v>375</v>
      </c>
      <c r="K353" s="265" t="s">
        <v>376</v>
      </c>
      <c r="L353" s="265" t="s">
        <v>18</v>
      </c>
      <c r="M353" s="265" t="s">
        <v>19</v>
      </c>
      <c r="N353" s="265" t="s">
        <v>728</v>
      </c>
      <c r="O353" s="265" t="s">
        <v>11</v>
      </c>
    </row>
    <row r="354" spans="1:15" s="129" customFormat="1" x14ac:dyDescent="0.25">
      <c r="A354" s="130">
        <v>4</v>
      </c>
      <c r="B354" s="130">
        <v>4</v>
      </c>
      <c r="C354" s="130" t="s">
        <v>880</v>
      </c>
      <c r="D354" s="130">
        <v>1</v>
      </c>
      <c r="E354" s="130" t="s">
        <v>754</v>
      </c>
      <c r="F354" s="130">
        <v>1</v>
      </c>
      <c r="G354" s="130">
        <v>1</v>
      </c>
      <c r="H354" s="130">
        <v>1</v>
      </c>
      <c r="I354" s="131">
        <v>487808.68457031198</v>
      </c>
      <c r="J354" s="130" t="s">
        <v>329</v>
      </c>
      <c r="K354" s="130" t="s">
        <v>330</v>
      </c>
      <c r="L354" s="130" t="s">
        <v>30</v>
      </c>
      <c r="M354" s="130" t="s">
        <v>732</v>
      </c>
      <c r="N354" s="130" t="s">
        <v>15</v>
      </c>
      <c r="O354" s="130" t="s">
        <v>11</v>
      </c>
    </row>
    <row r="355" spans="1:15" s="269" customFormat="1" x14ac:dyDescent="0.25">
      <c r="A355" s="267">
        <v>4</v>
      </c>
      <c r="B355" s="267">
        <v>4</v>
      </c>
      <c r="C355" s="267" t="s">
        <v>880</v>
      </c>
      <c r="D355" s="267">
        <v>1</v>
      </c>
      <c r="E355" s="267" t="s">
        <v>754</v>
      </c>
      <c r="F355" s="267">
        <v>1</v>
      </c>
      <c r="G355" s="267">
        <v>1</v>
      </c>
      <c r="H355" s="267">
        <v>1</v>
      </c>
      <c r="I355" s="268">
        <v>64995.66015625</v>
      </c>
      <c r="J355" s="267" t="s">
        <v>149</v>
      </c>
      <c r="K355" s="267" t="s">
        <v>150</v>
      </c>
      <c r="L355" s="267" t="s">
        <v>14</v>
      </c>
      <c r="M355" s="267" t="s">
        <v>740</v>
      </c>
      <c r="N355" s="267" t="s">
        <v>729</v>
      </c>
      <c r="O355" s="267" t="s">
        <v>741</v>
      </c>
    </row>
    <row r="356" spans="1:15" s="129" customFormat="1" x14ac:dyDescent="0.25">
      <c r="A356" s="130">
        <v>4</v>
      </c>
      <c r="B356" s="130">
        <v>4</v>
      </c>
      <c r="C356" s="130" t="s">
        <v>880</v>
      </c>
      <c r="D356" s="130">
        <v>1</v>
      </c>
      <c r="E356" s="130" t="s">
        <v>754</v>
      </c>
      <c r="F356" s="130">
        <v>1</v>
      </c>
      <c r="G356" s="130">
        <v>1</v>
      </c>
      <c r="H356" s="130">
        <v>1</v>
      </c>
      <c r="I356" s="131">
        <v>332450.95214843698</v>
      </c>
      <c r="J356" s="130" t="s">
        <v>136</v>
      </c>
      <c r="K356" s="130" t="s">
        <v>137</v>
      </c>
      <c r="L356" s="130" t="s">
        <v>27</v>
      </c>
      <c r="M356" s="130" t="s">
        <v>738</v>
      </c>
      <c r="N356" s="130" t="s">
        <v>15</v>
      </c>
      <c r="O356" s="130" t="s">
        <v>11</v>
      </c>
    </row>
    <row r="357" spans="1:15" s="129" customFormat="1" x14ac:dyDescent="0.25">
      <c r="A357" s="130">
        <v>4</v>
      </c>
      <c r="B357" s="130">
        <v>4</v>
      </c>
      <c r="C357" s="130" t="s">
        <v>880</v>
      </c>
      <c r="D357" s="130">
        <v>1</v>
      </c>
      <c r="E357" s="130" t="s">
        <v>754</v>
      </c>
      <c r="F357" s="130">
        <v>1</v>
      </c>
      <c r="G357" s="130">
        <v>1</v>
      </c>
      <c r="H357" s="130">
        <v>1</v>
      </c>
      <c r="I357" s="131">
        <v>316790.78808593698</v>
      </c>
      <c r="J357" s="130" t="s">
        <v>217</v>
      </c>
      <c r="K357" s="130" t="s">
        <v>218</v>
      </c>
      <c r="L357" s="130" t="s">
        <v>30</v>
      </c>
      <c r="M357" s="130" t="s">
        <v>732</v>
      </c>
      <c r="N357" s="130" t="s">
        <v>15</v>
      </c>
      <c r="O357" s="130" t="s">
        <v>11</v>
      </c>
    </row>
    <row r="358" spans="1:15" s="129" customFormat="1" x14ac:dyDescent="0.25">
      <c r="A358" s="130">
        <v>4</v>
      </c>
      <c r="B358" s="130">
        <v>4</v>
      </c>
      <c r="C358" s="130" t="s">
        <v>880</v>
      </c>
      <c r="D358" s="130">
        <v>1</v>
      </c>
      <c r="E358" s="130" t="s">
        <v>754</v>
      </c>
      <c r="F358" s="130">
        <v>1</v>
      </c>
      <c r="G358" s="130">
        <v>1</v>
      </c>
      <c r="H358" s="130">
        <v>1</v>
      </c>
      <c r="I358" s="131">
        <v>3972256.4008789002</v>
      </c>
      <c r="J358" s="130" t="s">
        <v>375</v>
      </c>
      <c r="K358" s="130" t="s">
        <v>376</v>
      </c>
      <c r="L358" s="130" t="s">
        <v>18</v>
      </c>
      <c r="M358" s="130" t="s">
        <v>19</v>
      </c>
      <c r="N358" s="130" t="s">
        <v>15</v>
      </c>
      <c r="O358" s="130" t="s">
        <v>11</v>
      </c>
    </row>
    <row r="359" spans="1:15" s="129" customFormat="1" x14ac:dyDescent="0.25">
      <c r="A359" s="130">
        <v>4</v>
      </c>
      <c r="B359" s="130">
        <v>4</v>
      </c>
      <c r="C359" s="130" t="s">
        <v>880</v>
      </c>
      <c r="D359" s="130">
        <v>1</v>
      </c>
      <c r="E359" s="130" t="s">
        <v>754</v>
      </c>
      <c r="F359" s="130">
        <v>1</v>
      </c>
      <c r="G359" s="130">
        <v>1</v>
      </c>
      <c r="H359" s="130">
        <v>1</v>
      </c>
      <c r="I359" s="131">
        <v>214509.26855468701</v>
      </c>
      <c r="J359" s="130" t="s">
        <v>379</v>
      </c>
      <c r="K359" s="130" t="s">
        <v>380</v>
      </c>
      <c r="L359" s="130" t="s">
        <v>30</v>
      </c>
      <c r="M359" s="130" t="s">
        <v>732</v>
      </c>
      <c r="N359" s="130" t="s">
        <v>15</v>
      </c>
      <c r="O359" s="130" t="s">
        <v>11</v>
      </c>
    </row>
    <row r="360" spans="1:15" s="264" customFormat="1" x14ac:dyDescent="0.25">
      <c r="A360" s="262">
        <v>4</v>
      </c>
      <c r="B360" s="262">
        <v>4</v>
      </c>
      <c r="C360" s="262" t="s">
        <v>880</v>
      </c>
      <c r="D360" s="262">
        <v>1</v>
      </c>
      <c r="E360" s="262" t="s">
        <v>754</v>
      </c>
      <c r="F360" s="262">
        <v>1</v>
      </c>
      <c r="G360" s="262">
        <v>1</v>
      </c>
      <c r="H360" s="262">
        <v>1</v>
      </c>
      <c r="I360" s="263">
        <v>30762.922363281199</v>
      </c>
      <c r="J360" s="262" t="s">
        <v>383</v>
      </c>
      <c r="K360" s="262" t="s">
        <v>384</v>
      </c>
      <c r="L360" s="262" t="s">
        <v>189</v>
      </c>
      <c r="M360" s="262" t="s">
        <v>190</v>
      </c>
      <c r="N360" s="262" t="s">
        <v>727</v>
      </c>
      <c r="O360" s="262" t="s">
        <v>11</v>
      </c>
    </row>
    <row r="361" spans="1:15" s="218" customFormat="1" x14ac:dyDescent="0.25">
      <c r="A361" s="265">
        <v>4</v>
      </c>
      <c r="B361" s="265">
        <v>4</v>
      </c>
      <c r="C361" s="265" t="s">
        <v>880</v>
      </c>
      <c r="D361" s="265">
        <v>1</v>
      </c>
      <c r="E361" s="265" t="s">
        <v>754</v>
      </c>
      <c r="F361" s="265">
        <v>1</v>
      </c>
      <c r="G361" s="265">
        <v>1</v>
      </c>
      <c r="H361" s="265">
        <v>1</v>
      </c>
      <c r="I361" s="266">
        <v>245943.20947265599</v>
      </c>
      <c r="J361" s="265" t="s">
        <v>385</v>
      </c>
      <c r="K361" s="265" t="s">
        <v>386</v>
      </c>
      <c r="L361" s="265" t="s">
        <v>30</v>
      </c>
      <c r="M361" s="265" t="s">
        <v>732</v>
      </c>
      <c r="N361" s="265" t="s">
        <v>728</v>
      </c>
      <c r="O361" s="265" t="s">
        <v>11</v>
      </c>
    </row>
    <row r="362" spans="1:15" s="264" customFormat="1" x14ac:dyDescent="0.25">
      <c r="A362" s="262">
        <v>4</v>
      </c>
      <c r="B362" s="262">
        <v>4</v>
      </c>
      <c r="C362" s="262" t="s">
        <v>880</v>
      </c>
      <c r="D362" s="262">
        <v>1</v>
      </c>
      <c r="E362" s="262" t="s">
        <v>754</v>
      </c>
      <c r="F362" s="262">
        <v>1</v>
      </c>
      <c r="G362" s="262">
        <v>1</v>
      </c>
      <c r="H362" s="262">
        <v>1</v>
      </c>
      <c r="I362" s="263">
        <v>358683.76318359299</v>
      </c>
      <c r="J362" s="262" t="s">
        <v>387</v>
      </c>
      <c r="K362" s="262" t="s">
        <v>388</v>
      </c>
      <c r="L362" s="262" t="s">
        <v>30</v>
      </c>
      <c r="M362" s="262" t="s">
        <v>732</v>
      </c>
      <c r="N362" s="262" t="s">
        <v>727</v>
      </c>
      <c r="O362" s="262" t="s">
        <v>11</v>
      </c>
    </row>
    <row r="363" spans="1:15" s="218" customFormat="1" x14ac:dyDescent="0.25">
      <c r="A363" s="265">
        <v>4</v>
      </c>
      <c r="B363" s="265">
        <v>4</v>
      </c>
      <c r="C363" s="265" t="s">
        <v>880</v>
      </c>
      <c r="D363" s="265">
        <v>1</v>
      </c>
      <c r="E363" s="265" t="s">
        <v>754</v>
      </c>
      <c r="F363" s="265">
        <v>1</v>
      </c>
      <c r="G363" s="265">
        <v>1</v>
      </c>
      <c r="H363" s="265">
        <v>1</v>
      </c>
      <c r="I363" s="266">
        <v>1548166.6997070301</v>
      </c>
      <c r="J363" s="265" t="s">
        <v>389</v>
      </c>
      <c r="K363" s="265" t="s">
        <v>390</v>
      </c>
      <c r="L363" s="265" t="s">
        <v>14</v>
      </c>
      <c r="M363" s="265" t="s">
        <v>740</v>
      </c>
      <c r="N363" s="265" t="s">
        <v>728</v>
      </c>
      <c r="O363" s="265" t="s">
        <v>11</v>
      </c>
    </row>
    <row r="364" spans="1:15" s="218" customFormat="1" x14ac:dyDescent="0.25">
      <c r="A364" s="265">
        <v>4</v>
      </c>
      <c r="B364" s="265">
        <v>4</v>
      </c>
      <c r="C364" s="265" t="s">
        <v>880</v>
      </c>
      <c r="D364" s="265">
        <v>1</v>
      </c>
      <c r="E364" s="265" t="s">
        <v>754</v>
      </c>
      <c r="F364" s="265">
        <v>1</v>
      </c>
      <c r="G364" s="265">
        <v>1</v>
      </c>
      <c r="H364" s="265">
        <v>1</v>
      </c>
      <c r="I364" s="266">
        <v>1315240.1103515599</v>
      </c>
      <c r="J364" s="265" t="s">
        <v>355</v>
      </c>
      <c r="K364" s="265" t="s">
        <v>356</v>
      </c>
      <c r="L364" s="265" t="s">
        <v>30</v>
      </c>
      <c r="M364" s="265" t="s">
        <v>732</v>
      </c>
      <c r="N364" s="265" t="s">
        <v>728</v>
      </c>
      <c r="O364" s="265" t="s">
        <v>11</v>
      </c>
    </row>
    <row r="365" spans="1:15" s="269" customFormat="1" x14ac:dyDescent="0.25">
      <c r="A365" s="267">
        <v>4</v>
      </c>
      <c r="B365" s="267">
        <v>4</v>
      </c>
      <c r="C365" s="267" t="s">
        <v>880</v>
      </c>
      <c r="D365" s="267">
        <v>1</v>
      </c>
      <c r="E365" s="267" t="s">
        <v>754</v>
      </c>
      <c r="F365" s="267">
        <v>1</v>
      </c>
      <c r="G365" s="267">
        <v>1</v>
      </c>
      <c r="H365" s="267">
        <v>1</v>
      </c>
      <c r="I365" s="268">
        <v>494480.30810546799</v>
      </c>
      <c r="J365" s="267" t="s">
        <v>391</v>
      </c>
      <c r="K365" s="267" t="s">
        <v>392</v>
      </c>
      <c r="L365" s="267" t="s">
        <v>14</v>
      </c>
      <c r="M365" s="267" t="s">
        <v>740</v>
      </c>
      <c r="N365" s="267" t="s">
        <v>729</v>
      </c>
      <c r="O365" s="267" t="s">
        <v>741</v>
      </c>
    </row>
    <row r="366" spans="1:15" s="129" customFormat="1" x14ac:dyDescent="0.25">
      <c r="A366" s="130">
        <v>4</v>
      </c>
      <c r="B366" s="130">
        <v>4</v>
      </c>
      <c r="C366" s="130" t="s">
        <v>880</v>
      </c>
      <c r="D366" s="130">
        <v>1</v>
      </c>
      <c r="E366" s="130" t="s">
        <v>754</v>
      </c>
      <c r="F366" s="130">
        <v>1</v>
      </c>
      <c r="G366" s="130">
        <v>1</v>
      </c>
      <c r="H366" s="130">
        <v>1</v>
      </c>
      <c r="I366" s="131">
        <v>1116380.6606445301</v>
      </c>
      <c r="J366" s="130" t="s">
        <v>393</v>
      </c>
      <c r="K366" s="130" t="s">
        <v>394</v>
      </c>
      <c r="L366" s="130" t="s">
        <v>18</v>
      </c>
      <c r="M366" s="130" t="s">
        <v>19</v>
      </c>
      <c r="N366" s="130" t="s">
        <v>15</v>
      </c>
      <c r="O366" s="130" t="s">
        <v>11</v>
      </c>
    </row>
    <row r="367" spans="1:15" s="264" customFormat="1" x14ac:dyDescent="0.25">
      <c r="A367" s="262">
        <v>4</v>
      </c>
      <c r="B367" s="262">
        <v>4</v>
      </c>
      <c r="C367" s="262" t="s">
        <v>880</v>
      </c>
      <c r="D367" s="262">
        <v>1</v>
      </c>
      <c r="E367" s="262" t="s">
        <v>754</v>
      </c>
      <c r="F367" s="262">
        <v>1</v>
      </c>
      <c r="G367" s="262">
        <v>1</v>
      </c>
      <c r="H367" s="262">
        <v>1</v>
      </c>
      <c r="I367" s="263">
        <v>91779.782714843706</v>
      </c>
      <c r="J367" s="262" t="s">
        <v>401</v>
      </c>
      <c r="K367" s="262" t="s">
        <v>402</v>
      </c>
      <c r="L367" s="262" t="s">
        <v>14</v>
      </c>
      <c r="M367" s="262" t="s">
        <v>740</v>
      </c>
      <c r="N367" s="262" t="s">
        <v>727</v>
      </c>
      <c r="O367" s="262" t="s">
        <v>741</v>
      </c>
    </row>
    <row r="368" spans="1:15" s="218" customFormat="1" x14ac:dyDescent="0.25">
      <c r="A368" s="265">
        <v>4</v>
      </c>
      <c r="B368" s="265">
        <v>4</v>
      </c>
      <c r="C368" s="265" t="s">
        <v>880</v>
      </c>
      <c r="D368" s="265">
        <v>1</v>
      </c>
      <c r="E368" s="265" t="s">
        <v>754</v>
      </c>
      <c r="F368" s="265">
        <v>1</v>
      </c>
      <c r="G368" s="265">
        <v>1</v>
      </c>
      <c r="H368" s="265">
        <v>1</v>
      </c>
      <c r="I368" s="266">
        <v>129743.848144531</v>
      </c>
      <c r="J368" s="265" t="s">
        <v>211</v>
      </c>
      <c r="K368" s="265" t="s">
        <v>212</v>
      </c>
      <c r="L368" s="265" t="s">
        <v>30</v>
      </c>
      <c r="M368" s="265" t="s">
        <v>732</v>
      </c>
      <c r="N368" s="265" t="s">
        <v>728</v>
      </c>
      <c r="O368" s="265" t="s">
        <v>11</v>
      </c>
    </row>
    <row r="369" spans="1:15" s="129" customFormat="1" x14ac:dyDescent="0.25">
      <c r="A369" s="130">
        <v>4</v>
      </c>
      <c r="B369" s="130">
        <v>4</v>
      </c>
      <c r="C369" s="130" t="s">
        <v>880</v>
      </c>
      <c r="D369" s="130">
        <v>1</v>
      </c>
      <c r="E369" s="130" t="s">
        <v>754</v>
      </c>
      <c r="F369" s="130">
        <v>1</v>
      </c>
      <c r="G369" s="130">
        <v>1</v>
      </c>
      <c r="H369" s="130">
        <v>1</v>
      </c>
      <c r="I369" s="131">
        <v>1058931.4775390599</v>
      </c>
      <c r="J369" s="130" t="s">
        <v>405</v>
      </c>
      <c r="K369" s="130" t="s">
        <v>406</v>
      </c>
      <c r="L369" s="130" t="s">
        <v>30</v>
      </c>
      <c r="M369" s="130" t="s">
        <v>732</v>
      </c>
      <c r="N369" s="130" t="s">
        <v>15</v>
      </c>
      <c r="O369" s="130" t="s">
        <v>11</v>
      </c>
    </row>
    <row r="370" spans="1:15" s="218" customFormat="1" x14ac:dyDescent="0.25">
      <c r="A370" s="265">
        <v>4</v>
      </c>
      <c r="B370" s="265">
        <v>4</v>
      </c>
      <c r="C370" s="265" t="s">
        <v>880</v>
      </c>
      <c r="D370" s="265">
        <v>1</v>
      </c>
      <c r="E370" s="265" t="s">
        <v>754</v>
      </c>
      <c r="F370" s="265">
        <v>1</v>
      </c>
      <c r="G370" s="265">
        <v>1</v>
      </c>
      <c r="H370" s="265">
        <v>1</v>
      </c>
      <c r="I370" s="266">
        <v>335602.29248046799</v>
      </c>
      <c r="J370" s="265" t="s">
        <v>414</v>
      </c>
      <c r="K370" s="265" t="s">
        <v>415</v>
      </c>
      <c r="L370" s="265" t="s">
        <v>80</v>
      </c>
      <c r="M370" s="265" t="s">
        <v>733</v>
      </c>
      <c r="N370" s="265" t="s">
        <v>728</v>
      </c>
      <c r="O370" s="265" t="s">
        <v>11</v>
      </c>
    </row>
    <row r="371" spans="1:15" s="129" customFormat="1" x14ac:dyDescent="0.25">
      <c r="A371" s="130">
        <v>4</v>
      </c>
      <c r="B371" s="130">
        <v>4</v>
      </c>
      <c r="C371" s="130" t="s">
        <v>880</v>
      </c>
      <c r="D371" s="130">
        <v>1</v>
      </c>
      <c r="E371" s="130" t="s">
        <v>754</v>
      </c>
      <c r="F371" s="130">
        <v>1</v>
      </c>
      <c r="G371" s="130">
        <v>1</v>
      </c>
      <c r="H371" s="130">
        <v>1</v>
      </c>
      <c r="I371" s="131">
        <v>329090.38525390602</v>
      </c>
      <c r="J371" s="130" t="s">
        <v>359</v>
      </c>
      <c r="K371" s="130" t="s">
        <v>360</v>
      </c>
      <c r="L371" s="130" t="s">
        <v>30</v>
      </c>
      <c r="M371" s="130" t="s">
        <v>732</v>
      </c>
      <c r="N371" s="130" t="s">
        <v>15</v>
      </c>
      <c r="O371" s="130" t="s">
        <v>11</v>
      </c>
    </row>
    <row r="372" spans="1:15" s="264" customFormat="1" x14ac:dyDescent="0.25">
      <c r="A372" s="262">
        <v>4</v>
      </c>
      <c r="B372" s="262">
        <v>4</v>
      </c>
      <c r="C372" s="262" t="s">
        <v>880</v>
      </c>
      <c r="D372" s="262">
        <v>1</v>
      </c>
      <c r="E372" s="262" t="s">
        <v>754</v>
      </c>
      <c r="F372" s="262">
        <v>1</v>
      </c>
      <c r="G372" s="262">
        <v>1</v>
      </c>
      <c r="H372" s="262">
        <v>1</v>
      </c>
      <c r="I372" s="263">
        <v>749591.97998046805</v>
      </c>
      <c r="J372" s="262" t="s">
        <v>420</v>
      </c>
      <c r="K372" s="262" t="s">
        <v>421</v>
      </c>
      <c r="L372" s="262" t="s">
        <v>18</v>
      </c>
      <c r="M372" s="262" t="s">
        <v>19</v>
      </c>
      <c r="N372" s="262" t="s">
        <v>727</v>
      </c>
      <c r="O372" s="262" t="s">
        <v>11</v>
      </c>
    </row>
    <row r="373" spans="1:15" s="264" customFormat="1" x14ac:dyDescent="0.25">
      <c r="A373" s="262">
        <v>4</v>
      </c>
      <c r="B373" s="262">
        <v>4</v>
      </c>
      <c r="C373" s="262" t="s">
        <v>880</v>
      </c>
      <c r="D373" s="262">
        <v>1</v>
      </c>
      <c r="E373" s="262" t="s">
        <v>754</v>
      </c>
      <c r="F373" s="262">
        <v>1</v>
      </c>
      <c r="G373" s="262">
        <v>1</v>
      </c>
      <c r="H373" s="262">
        <v>1</v>
      </c>
      <c r="I373" s="263">
        <v>115722.01464843701</v>
      </c>
      <c r="J373" s="262" t="s">
        <v>134</v>
      </c>
      <c r="K373" s="262" t="s">
        <v>135</v>
      </c>
      <c r="L373" s="262" t="s">
        <v>14</v>
      </c>
      <c r="M373" s="262" t="s">
        <v>740</v>
      </c>
      <c r="N373" s="262" t="s">
        <v>727</v>
      </c>
      <c r="O373" s="262" t="s">
        <v>741</v>
      </c>
    </row>
    <row r="374" spans="1:15" s="218" customFormat="1" x14ac:dyDescent="0.25">
      <c r="A374" s="265">
        <v>4</v>
      </c>
      <c r="B374" s="265">
        <v>4</v>
      </c>
      <c r="C374" s="265" t="s">
        <v>880</v>
      </c>
      <c r="D374" s="265">
        <v>1</v>
      </c>
      <c r="E374" s="265" t="s">
        <v>754</v>
      </c>
      <c r="F374" s="265">
        <v>1</v>
      </c>
      <c r="G374" s="265">
        <v>1</v>
      </c>
      <c r="H374" s="265">
        <v>1</v>
      </c>
      <c r="I374" s="266">
        <v>67524.720214843706</v>
      </c>
      <c r="J374" s="265" t="s">
        <v>179</v>
      </c>
      <c r="K374" s="265" t="s">
        <v>180</v>
      </c>
      <c r="L374" s="265" t="s">
        <v>30</v>
      </c>
      <c r="M374" s="265" t="s">
        <v>732</v>
      </c>
      <c r="N374" s="265" t="s">
        <v>728</v>
      </c>
      <c r="O374" s="265" t="s">
        <v>11</v>
      </c>
    </row>
    <row r="375" spans="1:15" s="218" customFormat="1" x14ac:dyDescent="0.25">
      <c r="A375" s="265">
        <v>4</v>
      </c>
      <c r="B375" s="265">
        <v>4</v>
      </c>
      <c r="C375" s="265" t="s">
        <v>880</v>
      </c>
      <c r="D375" s="265">
        <v>1</v>
      </c>
      <c r="E375" s="265" t="s">
        <v>754</v>
      </c>
      <c r="F375" s="265">
        <v>1</v>
      </c>
      <c r="G375" s="265">
        <v>1</v>
      </c>
      <c r="H375" s="265">
        <v>1</v>
      </c>
      <c r="I375" s="266">
        <v>175161.78271484299</v>
      </c>
      <c r="J375" s="265" t="s">
        <v>424</v>
      </c>
      <c r="K375" s="265" t="s">
        <v>425</v>
      </c>
      <c r="L375" s="265" t="s">
        <v>30</v>
      </c>
      <c r="M375" s="265" t="s">
        <v>732</v>
      </c>
      <c r="N375" s="265" t="s">
        <v>728</v>
      </c>
      <c r="O375" s="265" t="s">
        <v>11</v>
      </c>
    </row>
    <row r="376" spans="1:15" s="218" customFormat="1" x14ac:dyDescent="0.25">
      <c r="A376" s="265">
        <v>4</v>
      </c>
      <c r="B376" s="265">
        <v>4</v>
      </c>
      <c r="C376" s="265" t="s">
        <v>880</v>
      </c>
      <c r="D376" s="265">
        <v>1</v>
      </c>
      <c r="E376" s="265" t="s">
        <v>754</v>
      </c>
      <c r="F376" s="265">
        <v>1</v>
      </c>
      <c r="G376" s="265">
        <v>1</v>
      </c>
      <c r="H376" s="265">
        <v>1</v>
      </c>
      <c r="I376" s="266">
        <v>269838.11474609299</v>
      </c>
      <c r="J376" s="265" t="s">
        <v>426</v>
      </c>
      <c r="K376" s="265" t="s">
        <v>427</v>
      </c>
      <c r="L376" s="265" t="s">
        <v>18</v>
      </c>
      <c r="M376" s="265" t="s">
        <v>19</v>
      </c>
      <c r="N376" s="265" t="s">
        <v>728</v>
      </c>
      <c r="O376" s="265" t="s">
        <v>11</v>
      </c>
    </row>
    <row r="377" spans="1:15" s="264" customFormat="1" x14ac:dyDescent="0.25">
      <c r="A377" s="262">
        <v>4</v>
      </c>
      <c r="B377" s="262">
        <v>4</v>
      </c>
      <c r="C377" s="262" t="s">
        <v>880</v>
      </c>
      <c r="D377" s="262">
        <v>1</v>
      </c>
      <c r="E377" s="262" t="s">
        <v>754</v>
      </c>
      <c r="F377" s="262">
        <v>1</v>
      </c>
      <c r="G377" s="262">
        <v>1</v>
      </c>
      <c r="H377" s="262">
        <v>1</v>
      </c>
      <c r="I377" s="263">
        <v>2703788.6215820299</v>
      </c>
      <c r="J377" s="262" t="s">
        <v>428</v>
      </c>
      <c r="K377" s="262" t="s">
        <v>429</v>
      </c>
      <c r="L377" s="262" t="s">
        <v>14</v>
      </c>
      <c r="M377" s="262" t="s">
        <v>740</v>
      </c>
      <c r="N377" s="262" t="s">
        <v>727</v>
      </c>
      <c r="O377" s="262" t="s">
        <v>741</v>
      </c>
    </row>
    <row r="378" spans="1:15" s="129" customFormat="1" x14ac:dyDescent="0.25">
      <c r="A378" s="130">
        <v>4</v>
      </c>
      <c r="B378" s="130">
        <v>4</v>
      </c>
      <c r="C378" s="130" t="s">
        <v>880</v>
      </c>
      <c r="D378" s="130">
        <v>1</v>
      </c>
      <c r="E378" s="130" t="s">
        <v>754</v>
      </c>
      <c r="F378" s="130">
        <v>1</v>
      </c>
      <c r="G378" s="130">
        <v>1</v>
      </c>
      <c r="H378" s="130">
        <v>1</v>
      </c>
      <c r="I378" s="131">
        <v>1866939.01708984</v>
      </c>
      <c r="J378" s="130" t="s">
        <v>426</v>
      </c>
      <c r="K378" s="130" t="s">
        <v>427</v>
      </c>
      <c r="L378" s="130" t="s">
        <v>18</v>
      </c>
      <c r="M378" s="130" t="s">
        <v>19</v>
      </c>
      <c r="N378" s="130" t="s">
        <v>15</v>
      </c>
      <c r="O378" s="130" t="s">
        <v>11</v>
      </c>
    </row>
    <row r="379" spans="1:15" s="218" customFormat="1" x14ac:dyDescent="0.25">
      <c r="A379" s="265">
        <v>4</v>
      </c>
      <c r="B379" s="265">
        <v>4</v>
      </c>
      <c r="C379" s="265" t="s">
        <v>880</v>
      </c>
      <c r="D379" s="265">
        <v>1</v>
      </c>
      <c r="E379" s="265" t="s">
        <v>754</v>
      </c>
      <c r="F379" s="265">
        <v>1</v>
      </c>
      <c r="G379" s="265">
        <v>1</v>
      </c>
      <c r="H379" s="265">
        <v>1</v>
      </c>
      <c r="I379" s="266">
        <v>165371.67822265599</v>
      </c>
      <c r="J379" s="265" t="s">
        <v>134</v>
      </c>
      <c r="K379" s="265" t="s">
        <v>135</v>
      </c>
      <c r="L379" s="265" t="s">
        <v>14</v>
      </c>
      <c r="M379" s="265" t="s">
        <v>740</v>
      </c>
      <c r="N379" s="265" t="s">
        <v>728</v>
      </c>
      <c r="O379" s="265" t="s">
        <v>741</v>
      </c>
    </row>
    <row r="380" spans="1:15" s="218" customFormat="1" x14ac:dyDescent="0.25">
      <c r="A380" s="265">
        <v>4</v>
      </c>
      <c r="B380" s="265">
        <v>4</v>
      </c>
      <c r="C380" s="265" t="s">
        <v>880</v>
      </c>
      <c r="D380" s="265">
        <v>1</v>
      </c>
      <c r="E380" s="265" t="s">
        <v>754</v>
      </c>
      <c r="F380" s="265">
        <v>1</v>
      </c>
      <c r="G380" s="265">
        <v>1</v>
      </c>
      <c r="H380" s="265">
        <v>1</v>
      </c>
      <c r="I380" s="266">
        <v>493066.40478515602</v>
      </c>
      <c r="J380" s="265" t="s">
        <v>401</v>
      </c>
      <c r="K380" s="265" t="s">
        <v>402</v>
      </c>
      <c r="L380" s="265" t="s">
        <v>14</v>
      </c>
      <c r="M380" s="265" t="s">
        <v>740</v>
      </c>
      <c r="N380" s="265" t="s">
        <v>728</v>
      </c>
      <c r="O380" s="265" t="s">
        <v>741</v>
      </c>
    </row>
    <row r="381" spans="1:15" s="264" customFormat="1" x14ac:dyDescent="0.25">
      <c r="A381" s="262">
        <v>4</v>
      </c>
      <c r="B381" s="262">
        <v>4</v>
      </c>
      <c r="C381" s="262" t="s">
        <v>880</v>
      </c>
      <c r="D381" s="262">
        <v>1</v>
      </c>
      <c r="E381" s="262" t="s">
        <v>754</v>
      </c>
      <c r="F381" s="262">
        <v>1</v>
      </c>
      <c r="G381" s="262">
        <v>1</v>
      </c>
      <c r="H381" s="262">
        <v>1</v>
      </c>
      <c r="I381" s="263">
        <v>2106.9150390625</v>
      </c>
      <c r="J381" s="262" t="s">
        <v>434</v>
      </c>
      <c r="K381" s="262" t="s">
        <v>435</v>
      </c>
      <c r="L381" s="262" t="s">
        <v>80</v>
      </c>
      <c r="M381" s="262" t="s">
        <v>733</v>
      </c>
      <c r="N381" s="262" t="s">
        <v>727</v>
      </c>
      <c r="O381" s="262" t="s">
        <v>11</v>
      </c>
    </row>
    <row r="382" spans="1:15" s="129" customFormat="1" x14ac:dyDescent="0.25">
      <c r="A382" s="130">
        <v>4</v>
      </c>
      <c r="B382" s="130">
        <v>4</v>
      </c>
      <c r="C382" s="130" t="s">
        <v>880</v>
      </c>
      <c r="D382" s="130">
        <v>1</v>
      </c>
      <c r="E382" s="130" t="s">
        <v>754</v>
      </c>
      <c r="F382" s="130">
        <v>1</v>
      </c>
      <c r="G382" s="130">
        <v>1</v>
      </c>
      <c r="H382" s="130">
        <v>1</v>
      </c>
      <c r="I382" s="131">
        <v>417185.48730468698</v>
      </c>
      <c r="J382" s="130" t="s">
        <v>424</v>
      </c>
      <c r="K382" s="130" t="s">
        <v>425</v>
      </c>
      <c r="L382" s="130" t="s">
        <v>30</v>
      </c>
      <c r="M382" s="130" t="s">
        <v>732</v>
      </c>
      <c r="N382" s="130" t="s">
        <v>15</v>
      </c>
      <c r="O382" s="130" t="s">
        <v>11</v>
      </c>
    </row>
    <row r="383" spans="1:15" s="218" customFormat="1" x14ac:dyDescent="0.25">
      <c r="A383" s="265">
        <v>4</v>
      </c>
      <c r="B383" s="265">
        <v>4</v>
      </c>
      <c r="C383" s="265" t="s">
        <v>880</v>
      </c>
      <c r="D383" s="265">
        <v>1</v>
      </c>
      <c r="E383" s="265" t="s">
        <v>754</v>
      </c>
      <c r="F383" s="265">
        <v>1</v>
      </c>
      <c r="G383" s="265">
        <v>1</v>
      </c>
      <c r="H383" s="265">
        <v>1</v>
      </c>
      <c r="I383" s="266">
        <v>271486.56884765602</v>
      </c>
      <c r="J383" s="265" t="s">
        <v>261</v>
      </c>
      <c r="K383" s="265" t="s">
        <v>262</v>
      </c>
      <c r="L383" s="265" t="s">
        <v>27</v>
      </c>
      <c r="M383" s="265" t="s">
        <v>738</v>
      </c>
      <c r="N383" s="265" t="s">
        <v>728</v>
      </c>
      <c r="O383" s="265" t="s">
        <v>11</v>
      </c>
    </row>
    <row r="384" spans="1:15" s="269" customFormat="1" x14ac:dyDescent="0.25">
      <c r="A384" s="267">
        <v>4</v>
      </c>
      <c r="B384" s="267">
        <v>4</v>
      </c>
      <c r="C384" s="267" t="s">
        <v>880</v>
      </c>
      <c r="D384" s="267">
        <v>1</v>
      </c>
      <c r="E384" s="267" t="s">
        <v>754</v>
      </c>
      <c r="F384" s="267">
        <v>1</v>
      </c>
      <c r="G384" s="267">
        <v>1</v>
      </c>
      <c r="H384" s="267">
        <v>1</v>
      </c>
      <c r="I384" s="268">
        <v>530726.44775390602</v>
      </c>
      <c r="J384" s="267" t="s">
        <v>351</v>
      </c>
      <c r="K384" s="267" t="s">
        <v>352</v>
      </c>
      <c r="L384" s="267" t="s">
        <v>14</v>
      </c>
      <c r="M384" s="267" t="s">
        <v>740</v>
      </c>
      <c r="N384" s="267" t="s">
        <v>729</v>
      </c>
      <c r="O384" s="267" t="s">
        <v>741</v>
      </c>
    </row>
    <row r="385" spans="1:15" s="129" customFormat="1" x14ac:dyDescent="0.25">
      <c r="A385" s="130">
        <v>4</v>
      </c>
      <c r="B385" s="130">
        <v>4</v>
      </c>
      <c r="C385" s="130" t="s">
        <v>880</v>
      </c>
      <c r="D385" s="130">
        <v>1</v>
      </c>
      <c r="E385" s="130" t="s">
        <v>754</v>
      </c>
      <c r="F385" s="130">
        <v>1</v>
      </c>
      <c r="G385" s="130">
        <v>1</v>
      </c>
      <c r="H385" s="130">
        <v>1</v>
      </c>
      <c r="I385" s="131">
        <v>1277588.3706054599</v>
      </c>
      <c r="J385" s="130" t="s">
        <v>442</v>
      </c>
      <c r="K385" s="130" t="s">
        <v>443</v>
      </c>
      <c r="L385" s="130" t="s">
        <v>14</v>
      </c>
      <c r="M385" s="130" t="s">
        <v>740</v>
      </c>
      <c r="N385" s="130" t="s">
        <v>15</v>
      </c>
      <c r="O385" s="130" t="s">
        <v>11</v>
      </c>
    </row>
    <row r="386" spans="1:15" s="129" customFormat="1" x14ac:dyDescent="0.25">
      <c r="A386" s="130">
        <v>4</v>
      </c>
      <c r="B386" s="130">
        <v>4</v>
      </c>
      <c r="C386" s="130" t="s">
        <v>880</v>
      </c>
      <c r="D386" s="130">
        <v>1</v>
      </c>
      <c r="E386" s="130" t="s">
        <v>754</v>
      </c>
      <c r="F386" s="130">
        <v>1</v>
      </c>
      <c r="G386" s="130">
        <v>1</v>
      </c>
      <c r="H386" s="130">
        <v>1</v>
      </c>
      <c r="I386" s="131">
        <v>766562.83251953102</v>
      </c>
      <c r="J386" s="130" t="s">
        <v>414</v>
      </c>
      <c r="K386" s="130" t="s">
        <v>415</v>
      </c>
      <c r="L386" s="130" t="s">
        <v>80</v>
      </c>
      <c r="M386" s="130" t="s">
        <v>733</v>
      </c>
      <c r="N386" s="130" t="s">
        <v>15</v>
      </c>
      <c r="O386" s="130" t="s">
        <v>11</v>
      </c>
    </row>
    <row r="387" spans="1:15" s="264" customFormat="1" x14ac:dyDescent="0.25">
      <c r="A387" s="262">
        <v>4</v>
      </c>
      <c r="B387" s="262">
        <v>4</v>
      </c>
      <c r="C387" s="262" t="s">
        <v>880</v>
      </c>
      <c r="D387" s="262">
        <v>1</v>
      </c>
      <c r="E387" s="262" t="s">
        <v>754</v>
      </c>
      <c r="F387" s="262">
        <v>1</v>
      </c>
      <c r="G387" s="262">
        <v>1</v>
      </c>
      <c r="H387" s="262">
        <v>1</v>
      </c>
      <c r="I387" s="263">
        <v>319549.52783203102</v>
      </c>
      <c r="J387" s="262" t="s">
        <v>375</v>
      </c>
      <c r="K387" s="262" t="s">
        <v>376</v>
      </c>
      <c r="L387" s="262" t="s">
        <v>18</v>
      </c>
      <c r="M387" s="262" t="s">
        <v>19</v>
      </c>
      <c r="N387" s="262" t="s">
        <v>727</v>
      </c>
      <c r="O387" s="262" t="s">
        <v>11</v>
      </c>
    </row>
    <row r="388" spans="1:15" s="129" customFormat="1" x14ac:dyDescent="0.25">
      <c r="A388" s="130">
        <v>4</v>
      </c>
      <c r="B388" s="130">
        <v>4</v>
      </c>
      <c r="C388" s="130" t="s">
        <v>880</v>
      </c>
      <c r="D388" s="130">
        <v>1</v>
      </c>
      <c r="E388" s="130" t="s">
        <v>754</v>
      </c>
      <c r="F388" s="130">
        <v>1</v>
      </c>
      <c r="G388" s="130">
        <v>1</v>
      </c>
      <c r="H388" s="130">
        <v>1</v>
      </c>
      <c r="I388" s="131">
        <v>6759519.1572265597</v>
      </c>
      <c r="J388" s="130" t="s">
        <v>448</v>
      </c>
      <c r="K388" s="130" t="s">
        <v>449</v>
      </c>
      <c r="L388" s="130" t="s">
        <v>80</v>
      </c>
      <c r="M388" s="130" t="s">
        <v>733</v>
      </c>
      <c r="N388" s="130" t="s">
        <v>15</v>
      </c>
      <c r="O388" s="130" t="s">
        <v>11</v>
      </c>
    </row>
    <row r="389" spans="1:15" s="129" customFormat="1" x14ac:dyDescent="0.25">
      <c r="A389" s="130">
        <v>4</v>
      </c>
      <c r="B389" s="130">
        <v>4</v>
      </c>
      <c r="C389" s="130" t="s">
        <v>880</v>
      </c>
      <c r="D389" s="130">
        <v>1</v>
      </c>
      <c r="E389" s="130" t="s">
        <v>754</v>
      </c>
      <c r="F389" s="130">
        <v>1</v>
      </c>
      <c r="G389" s="130">
        <v>1</v>
      </c>
      <c r="H389" s="130">
        <v>1</v>
      </c>
      <c r="I389" s="131">
        <v>1405342.16015625</v>
      </c>
      <c r="J389" s="130" t="s">
        <v>428</v>
      </c>
      <c r="K389" s="130" t="s">
        <v>429</v>
      </c>
      <c r="L389" s="130" t="s">
        <v>14</v>
      </c>
      <c r="M389" s="130" t="s">
        <v>740</v>
      </c>
      <c r="N389" s="130" t="s">
        <v>15</v>
      </c>
      <c r="O389" s="130" t="s">
        <v>879</v>
      </c>
    </row>
    <row r="390" spans="1:15" s="129" customFormat="1" x14ac:dyDescent="0.25">
      <c r="A390" s="130">
        <v>4</v>
      </c>
      <c r="B390" s="130">
        <v>4</v>
      </c>
      <c r="C390" s="130" t="s">
        <v>880</v>
      </c>
      <c r="D390" s="130">
        <v>1</v>
      </c>
      <c r="E390" s="130" t="s">
        <v>754</v>
      </c>
      <c r="F390" s="130">
        <v>1</v>
      </c>
      <c r="G390" s="130">
        <v>1</v>
      </c>
      <c r="H390" s="130">
        <v>1</v>
      </c>
      <c r="I390" s="131">
        <v>2257715.97265625</v>
      </c>
      <c r="J390" s="130" t="s">
        <v>279</v>
      </c>
      <c r="K390" s="130" t="s">
        <v>280</v>
      </c>
      <c r="L390" s="130" t="s">
        <v>18</v>
      </c>
      <c r="M390" s="130" t="s">
        <v>19</v>
      </c>
      <c r="N390" s="130" t="s">
        <v>15</v>
      </c>
      <c r="O390" s="130" t="s">
        <v>11</v>
      </c>
    </row>
    <row r="391" spans="1:15" s="129" customFormat="1" x14ac:dyDescent="0.25">
      <c r="A391" s="130">
        <v>4</v>
      </c>
      <c r="B391" s="130">
        <v>4</v>
      </c>
      <c r="C391" s="130" t="s">
        <v>880</v>
      </c>
      <c r="D391" s="130">
        <v>1</v>
      </c>
      <c r="E391" s="130" t="s">
        <v>754</v>
      </c>
      <c r="F391" s="130">
        <v>1</v>
      </c>
      <c r="G391" s="130">
        <v>1</v>
      </c>
      <c r="H391" s="130">
        <v>1</v>
      </c>
      <c r="I391" s="131">
        <v>261684.06787109299</v>
      </c>
      <c r="J391" s="130" t="s">
        <v>450</v>
      </c>
      <c r="K391" s="130" t="s">
        <v>451</v>
      </c>
      <c r="L391" s="130" t="s">
        <v>14</v>
      </c>
      <c r="M391" s="130" t="s">
        <v>740</v>
      </c>
      <c r="N391" s="130" t="s">
        <v>15</v>
      </c>
      <c r="O391" s="130" t="s">
        <v>11</v>
      </c>
    </row>
    <row r="392" spans="1:15" s="129" customFormat="1" x14ac:dyDescent="0.25">
      <c r="A392" s="130">
        <v>4</v>
      </c>
      <c r="B392" s="130">
        <v>4</v>
      </c>
      <c r="C392" s="130" t="s">
        <v>880</v>
      </c>
      <c r="D392" s="130">
        <v>1</v>
      </c>
      <c r="E392" s="130" t="s">
        <v>754</v>
      </c>
      <c r="F392" s="130">
        <v>1</v>
      </c>
      <c r="G392" s="130">
        <v>1</v>
      </c>
      <c r="H392" s="130">
        <v>1</v>
      </c>
      <c r="I392" s="131">
        <v>2624515.2109375</v>
      </c>
      <c r="J392" s="130" t="s">
        <v>383</v>
      </c>
      <c r="K392" s="130" t="s">
        <v>384</v>
      </c>
      <c r="L392" s="130" t="s">
        <v>189</v>
      </c>
      <c r="M392" s="130" t="s">
        <v>190</v>
      </c>
      <c r="N392" s="130" t="s">
        <v>15</v>
      </c>
      <c r="O392" s="130" t="s">
        <v>11</v>
      </c>
    </row>
    <row r="393" spans="1:15" s="218" customFormat="1" x14ac:dyDescent="0.25">
      <c r="A393" s="265">
        <v>4</v>
      </c>
      <c r="B393" s="265">
        <v>4</v>
      </c>
      <c r="C393" s="265" t="s">
        <v>880</v>
      </c>
      <c r="D393" s="265">
        <v>1</v>
      </c>
      <c r="E393" s="265" t="s">
        <v>754</v>
      </c>
      <c r="F393" s="265">
        <v>1</v>
      </c>
      <c r="G393" s="265">
        <v>1</v>
      </c>
      <c r="H393" s="265">
        <v>1</v>
      </c>
      <c r="I393" s="266">
        <v>2360437.5590820299</v>
      </c>
      <c r="J393" s="265" t="s">
        <v>452</v>
      </c>
      <c r="K393" s="265" t="s">
        <v>453</v>
      </c>
      <c r="L393" s="265" t="s">
        <v>30</v>
      </c>
      <c r="M393" s="265" t="s">
        <v>732</v>
      </c>
      <c r="N393" s="265" t="s">
        <v>728</v>
      </c>
      <c r="O393" s="265" t="s">
        <v>11</v>
      </c>
    </row>
    <row r="394" spans="1:15" s="129" customFormat="1" x14ac:dyDescent="0.25">
      <c r="A394" s="130">
        <v>4</v>
      </c>
      <c r="B394" s="130">
        <v>4</v>
      </c>
      <c r="C394" s="130" t="s">
        <v>880</v>
      </c>
      <c r="D394" s="130">
        <v>1</v>
      </c>
      <c r="E394" s="130" t="s">
        <v>754</v>
      </c>
      <c r="F394" s="130">
        <v>1</v>
      </c>
      <c r="G394" s="130">
        <v>1</v>
      </c>
      <c r="H394" s="130">
        <v>1</v>
      </c>
      <c r="I394" s="131">
        <v>199992.30615234299</v>
      </c>
      <c r="J394" s="130" t="s">
        <v>454</v>
      </c>
      <c r="K394" s="130" t="s">
        <v>455</v>
      </c>
      <c r="L394" s="130" t="s">
        <v>18</v>
      </c>
      <c r="M394" s="130" t="s">
        <v>19</v>
      </c>
      <c r="N394" s="130" t="s">
        <v>15</v>
      </c>
      <c r="O394" s="130" t="s">
        <v>11</v>
      </c>
    </row>
    <row r="395" spans="1:15" s="264" customFormat="1" x14ac:dyDescent="0.25">
      <c r="A395" s="262">
        <v>4</v>
      </c>
      <c r="B395" s="262">
        <v>4</v>
      </c>
      <c r="C395" s="262" t="s">
        <v>880</v>
      </c>
      <c r="D395" s="262">
        <v>1</v>
      </c>
      <c r="E395" s="262" t="s">
        <v>754</v>
      </c>
      <c r="F395" s="262">
        <v>1</v>
      </c>
      <c r="G395" s="262">
        <v>1</v>
      </c>
      <c r="H395" s="262">
        <v>1</v>
      </c>
      <c r="I395" s="263">
        <v>209176.80761718701</v>
      </c>
      <c r="J395" s="262" t="s">
        <v>163</v>
      </c>
      <c r="K395" s="262" t="s">
        <v>164</v>
      </c>
      <c r="L395" s="262" t="s">
        <v>14</v>
      </c>
      <c r="M395" s="262" t="s">
        <v>740</v>
      </c>
      <c r="N395" s="262" t="s">
        <v>727</v>
      </c>
      <c r="O395" s="262" t="s">
        <v>11</v>
      </c>
    </row>
    <row r="396" spans="1:15" s="129" customFormat="1" x14ac:dyDescent="0.25">
      <c r="A396" s="130">
        <v>4</v>
      </c>
      <c r="B396" s="130">
        <v>4</v>
      </c>
      <c r="C396" s="130" t="s">
        <v>880</v>
      </c>
      <c r="D396" s="130">
        <v>1</v>
      </c>
      <c r="E396" s="130" t="s">
        <v>754</v>
      </c>
      <c r="F396" s="130">
        <v>1</v>
      </c>
      <c r="G396" s="130">
        <v>1</v>
      </c>
      <c r="H396" s="130">
        <v>1</v>
      </c>
      <c r="I396" s="131">
        <v>2165446.2260742099</v>
      </c>
      <c r="J396" s="130" t="s">
        <v>307</v>
      </c>
      <c r="K396" s="130" t="s">
        <v>308</v>
      </c>
      <c r="L396" s="130" t="s">
        <v>80</v>
      </c>
      <c r="M396" s="130" t="s">
        <v>733</v>
      </c>
      <c r="N396" s="130" t="s">
        <v>15</v>
      </c>
      <c r="O396" s="130" t="s">
        <v>11</v>
      </c>
    </row>
    <row r="397" spans="1:15" s="28" customFormat="1" x14ac:dyDescent="0.25">
      <c r="A397" s="86">
        <v>4</v>
      </c>
      <c r="B397" s="86">
        <v>4</v>
      </c>
      <c r="C397" s="86" t="s">
        <v>880</v>
      </c>
      <c r="D397" s="86">
        <v>1</v>
      </c>
      <c r="E397" s="86" t="s">
        <v>754</v>
      </c>
      <c r="F397" s="86">
        <v>1</v>
      </c>
      <c r="G397" s="86">
        <v>1</v>
      </c>
      <c r="H397" s="86">
        <v>1</v>
      </c>
      <c r="I397" s="87">
        <v>2591742.1376953102</v>
      </c>
      <c r="J397" s="86" t="s">
        <v>456</v>
      </c>
      <c r="K397" s="86" t="s">
        <v>457</v>
      </c>
      <c r="L397" s="86" t="s">
        <v>30</v>
      </c>
      <c r="M397" s="86" t="s">
        <v>732</v>
      </c>
      <c r="N397" s="86" t="s">
        <v>726</v>
      </c>
      <c r="O397" s="86" t="s">
        <v>35</v>
      </c>
    </row>
    <row r="398" spans="1:15" s="218" customFormat="1" x14ac:dyDescent="0.25">
      <c r="A398" s="265">
        <v>4</v>
      </c>
      <c r="B398" s="265">
        <v>4</v>
      </c>
      <c r="C398" s="265" t="s">
        <v>880</v>
      </c>
      <c r="D398" s="265">
        <v>1</v>
      </c>
      <c r="E398" s="265" t="s">
        <v>754</v>
      </c>
      <c r="F398" s="265">
        <v>1</v>
      </c>
      <c r="G398" s="265">
        <v>1</v>
      </c>
      <c r="H398" s="265">
        <v>1</v>
      </c>
      <c r="I398" s="266">
        <v>725897.06005859305</v>
      </c>
      <c r="J398" s="265" t="s">
        <v>420</v>
      </c>
      <c r="K398" s="265" t="s">
        <v>421</v>
      </c>
      <c r="L398" s="265" t="s">
        <v>18</v>
      </c>
      <c r="M398" s="265" t="s">
        <v>19</v>
      </c>
      <c r="N398" s="265" t="s">
        <v>728</v>
      </c>
      <c r="O398" s="265" t="s">
        <v>11</v>
      </c>
    </row>
    <row r="399" spans="1:15" s="269" customFormat="1" x14ac:dyDescent="0.25">
      <c r="A399" s="267">
        <v>4</v>
      </c>
      <c r="B399" s="267">
        <v>4</v>
      </c>
      <c r="C399" s="267" t="s">
        <v>880</v>
      </c>
      <c r="D399" s="267">
        <v>1</v>
      </c>
      <c r="E399" s="267" t="s">
        <v>754</v>
      </c>
      <c r="F399" s="267">
        <v>1</v>
      </c>
      <c r="G399" s="267">
        <v>1</v>
      </c>
      <c r="H399" s="267">
        <v>1</v>
      </c>
      <c r="I399" s="268">
        <v>12.22021484375</v>
      </c>
      <c r="J399" s="267" t="s">
        <v>299</v>
      </c>
      <c r="K399" s="267" t="s">
        <v>300</v>
      </c>
      <c r="L399" s="267" t="s">
        <v>80</v>
      </c>
      <c r="M399" s="267" t="s">
        <v>733</v>
      </c>
      <c r="N399" s="267" t="s">
        <v>729</v>
      </c>
      <c r="O399" s="267" t="s">
        <v>11</v>
      </c>
    </row>
    <row r="400" spans="1:15" s="129" customFormat="1" x14ac:dyDescent="0.25">
      <c r="A400" s="130">
        <v>4</v>
      </c>
      <c r="B400" s="130">
        <v>4</v>
      </c>
      <c r="C400" s="130" t="s">
        <v>880</v>
      </c>
      <c r="D400" s="130">
        <v>1</v>
      </c>
      <c r="E400" s="130" t="s">
        <v>754</v>
      </c>
      <c r="F400" s="130">
        <v>1</v>
      </c>
      <c r="G400" s="130">
        <v>1</v>
      </c>
      <c r="H400" s="130">
        <v>1</v>
      </c>
      <c r="I400" s="131">
        <v>4300.61767578125</v>
      </c>
      <c r="J400" s="130" t="s">
        <v>287</v>
      </c>
      <c r="K400" s="130" t="s">
        <v>288</v>
      </c>
      <c r="L400" s="130" t="s">
        <v>18</v>
      </c>
      <c r="M400" s="130" t="s">
        <v>19</v>
      </c>
      <c r="N400" s="130" t="s">
        <v>15</v>
      </c>
      <c r="O400" s="130" t="s">
        <v>11</v>
      </c>
    </row>
    <row r="401" spans="1:15" s="218" customFormat="1" x14ac:dyDescent="0.25">
      <c r="A401" s="265">
        <v>4</v>
      </c>
      <c r="B401" s="265">
        <v>4</v>
      </c>
      <c r="C401" s="265" t="s">
        <v>880</v>
      </c>
      <c r="D401" s="265">
        <v>1</v>
      </c>
      <c r="E401" s="265" t="s">
        <v>754</v>
      </c>
      <c r="F401" s="265">
        <v>1</v>
      </c>
      <c r="G401" s="265">
        <v>1</v>
      </c>
      <c r="H401" s="265">
        <v>1</v>
      </c>
      <c r="I401" s="266">
        <v>627285.30175781203</v>
      </c>
      <c r="J401" s="265" t="s">
        <v>472</v>
      </c>
      <c r="K401" s="265" t="s">
        <v>473</v>
      </c>
      <c r="L401" s="265" t="s">
        <v>14</v>
      </c>
      <c r="M401" s="265" t="s">
        <v>740</v>
      </c>
      <c r="N401" s="265" t="s">
        <v>728</v>
      </c>
      <c r="O401" s="265" t="s">
        <v>11</v>
      </c>
    </row>
    <row r="402" spans="1:15" s="129" customFormat="1" x14ac:dyDescent="0.25">
      <c r="A402" s="130">
        <v>4</v>
      </c>
      <c r="B402" s="130">
        <v>4</v>
      </c>
      <c r="C402" s="130" t="s">
        <v>880</v>
      </c>
      <c r="D402" s="130">
        <v>1</v>
      </c>
      <c r="E402" s="130" t="s">
        <v>754</v>
      </c>
      <c r="F402" s="130">
        <v>1</v>
      </c>
      <c r="G402" s="130">
        <v>1</v>
      </c>
      <c r="H402" s="130">
        <v>1</v>
      </c>
      <c r="I402" s="131">
        <v>849200.38378906203</v>
      </c>
      <c r="J402" s="130" t="s">
        <v>389</v>
      </c>
      <c r="K402" s="130" t="s">
        <v>390</v>
      </c>
      <c r="L402" s="130" t="s">
        <v>14</v>
      </c>
      <c r="M402" s="130" t="s">
        <v>740</v>
      </c>
      <c r="N402" s="130" t="s">
        <v>15</v>
      </c>
      <c r="O402" s="130" t="s">
        <v>11</v>
      </c>
    </row>
    <row r="403" spans="1:15" s="28" customFormat="1" x14ac:dyDescent="0.25">
      <c r="A403" s="86">
        <v>4</v>
      </c>
      <c r="B403" s="86">
        <v>4</v>
      </c>
      <c r="C403" s="86" t="s">
        <v>880</v>
      </c>
      <c r="D403" s="86">
        <v>1</v>
      </c>
      <c r="E403" s="86" t="s">
        <v>754</v>
      </c>
      <c r="F403" s="86">
        <v>1</v>
      </c>
      <c r="G403" s="86">
        <v>1</v>
      </c>
      <c r="H403" s="86">
        <v>1</v>
      </c>
      <c r="I403" s="87">
        <v>1317310.37402343</v>
      </c>
      <c r="J403" s="86" t="s">
        <v>474</v>
      </c>
      <c r="K403" s="86" t="s">
        <v>475</v>
      </c>
      <c r="L403" s="86" t="s">
        <v>30</v>
      </c>
      <c r="M403" s="86" t="s">
        <v>732</v>
      </c>
      <c r="N403" s="86" t="s">
        <v>726</v>
      </c>
      <c r="O403" s="86" t="s">
        <v>35</v>
      </c>
    </row>
    <row r="404" spans="1:15" s="218" customFormat="1" x14ac:dyDescent="0.25">
      <c r="A404" s="265">
        <v>4</v>
      </c>
      <c r="B404" s="265">
        <v>4</v>
      </c>
      <c r="C404" s="265" t="s">
        <v>880</v>
      </c>
      <c r="D404" s="265">
        <v>1</v>
      </c>
      <c r="E404" s="265" t="s">
        <v>754</v>
      </c>
      <c r="F404" s="265">
        <v>1</v>
      </c>
      <c r="G404" s="265">
        <v>1</v>
      </c>
      <c r="H404" s="265">
        <v>1</v>
      </c>
      <c r="I404" s="266">
        <v>752517.32519531203</v>
      </c>
      <c r="J404" s="265" t="s">
        <v>476</v>
      </c>
      <c r="K404" s="265" t="s">
        <v>477</v>
      </c>
      <c r="L404" s="265" t="s">
        <v>18</v>
      </c>
      <c r="M404" s="265" t="s">
        <v>19</v>
      </c>
      <c r="N404" s="265" t="s">
        <v>728</v>
      </c>
      <c r="O404" s="265" t="s">
        <v>11</v>
      </c>
    </row>
    <row r="405" spans="1:15" s="129" customFormat="1" x14ac:dyDescent="0.25">
      <c r="A405" s="130">
        <v>4</v>
      </c>
      <c r="B405" s="130">
        <v>4</v>
      </c>
      <c r="C405" s="130" t="s">
        <v>880</v>
      </c>
      <c r="D405" s="130">
        <v>1</v>
      </c>
      <c r="E405" s="130" t="s">
        <v>754</v>
      </c>
      <c r="F405" s="130">
        <v>1</v>
      </c>
      <c r="G405" s="130">
        <v>1</v>
      </c>
      <c r="H405" s="130">
        <v>1</v>
      </c>
      <c r="I405" s="131">
        <v>4999848.046875</v>
      </c>
      <c r="J405" s="130" t="s">
        <v>420</v>
      </c>
      <c r="K405" s="130" t="s">
        <v>421</v>
      </c>
      <c r="L405" s="130" t="s">
        <v>18</v>
      </c>
      <c r="M405" s="130" t="s">
        <v>19</v>
      </c>
      <c r="N405" s="130" t="s">
        <v>15</v>
      </c>
      <c r="O405" s="130" t="s">
        <v>11</v>
      </c>
    </row>
    <row r="406" spans="1:15" s="218" customFormat="1" x14ac:dyDescent="0.25">
      <c r="A406" s="265">
        <v>4</v>
      </c>
      <c r="B406" s="265">
        <v>4</v>
      </c>
      <c r="C406" s="265" t="s">
        <v>880</v>
      </c>
      <c r="D406" s="265">
        <v>1</v>
      </c>
      <c r="E406" s="265" t="s">
        <v>754</v>
      </c>
      <c r="F406" s="265">
        <v>1</v>
      </c>
      <c r="G406" s="265">
        <v>1</v>
      </c>
      <c r="H406" s="265">
        <v>1</v>
      </c>
      <c r="I406" s="266">
        <v>415649.40722656198</v>
      </c>
      <c r="J406" s="265" t="s">
        <v>49</v>
      </c>
      <c r="K406" s="265" t="s">
        <v>50</v>
      </c>
      <c r="L406" s="265" t="s">
        <v>30</v>
      </c>
      <c r="M406" s="265" t="s">
        <v>732</v>
      </c>
      <c r="N406" s="265" t="s">
        <v>728</v>
      </c>
      <c r="O406" s="265" t="s">
        <v>11</v>
      </c>
    </row>
    <row r="407" spans="1:15" s="129" customFormat="1" x14ac:dyDescent="0.25">
      <c r="A407" s="130">
        <v>4</v>
      </c>
      <c r="B407" s="130">
        <v>4</v>
      </c>
      <c r="C407" s="130" t="s">
        <v>880</v>
      </c>
      <c r="D407" s="130">
        <v>1</v>
      </c>
      <c r="E407" s="130" t="s">
        <v>754</v>
      </c>
      <c r="F407" s="130">
        <v>1</v>
      </c>
      <c r="G407" s="130">
        <v>1</v>
      </c>
      <c r="H407" s="130">
        <v>1</v>
      </c>
      <c r="I407" s="131">
        <v>411701.35009765602</v>
      </c>
      <c r="J407" s="130" t="s">
        <v>486</v>
      </c>
      <c r="K407" s="130" t="s">
        <v>487</v>
      </c>
      <c r="L407" s="130" t="s">
        <v>80</v>
      </c>
      <c r="M407" s="130" t="s">
        <v>733</v>
      </c>
      <c r="N407" s="130" t="s">
        <v>15</v>
      </c>
      <c r="O407" s="130" t="s">
        <v>11</v>
      </c>
    </row>
    <row r="408" spans="1:15" s="264" customFormat="1" x14ac:dyDescent="0.25">
      <c r="A408" s="262">
        <v>4</v>
      </c>
      <c r="B408" s="262">
        <v>4</v>
      </c>
      <c r="C408" s="262" t="s">
        <v>880</v>
      </c>
      <c r="D408" s="262">
        <v>1</v>
      </c>
      <c r="E408" s="262" t="s">
        <v>754</v>
      </c>
      <c r="F408" s="262">
        <v>1</v>
      </c>
      <c r="G408" s="262">
        <v>1</v>
      </c>
      <c r="H408" s="262">
        <v>1</v>
      </c>
      <c r="I408" s="263">
        <v>1531330.6533203099</v>
      </c>
      <c r="J408" s="262" t="s">
        <v>414</v>
      </c>
      <c r="K408" s="262" t="s">
        <v>415</v>
      </c>
      <c r="L408" s="262" t="s">
        <v>80</v>
      </c>
      <c r="M408" s="262" t="s">
        <v>733</v>
      </c>
      <c r="N408" s="262" t="s">
        <v>727</v>
      </c>
      <c r="O408" s="262" t="s">
        <v>11</v>
      </c>
    </row>
    <row r="409" spans="1:15" s="218" customFormat="1" x14ac:dyDescent="0.25">
      <c r="A409" s="265">
        <v>4</v>
      </c>
      <c r="B409" s="265">
        <v>4</v>
      </c>
      <c r="C409" s="265" t="s">
        <v>880</v>
      </c>
      <c r="D409" s="265">
        <v>1</v>
      </c>
      <c r="E409" s="265" t="s">
        <v>754</v>
      </c>
      <c r="F409" s="265">
        <v>1</v>
      </c>
      <c r="G409" s="265">
        <v>1</v>
      </c>
      <c r="H409" s="265">
        <v>1</v>
      </c>
      <c r="I409" s="266">
        <v>48.41748046875</v>
      </c>
      <c r="J409" s="265" t="s">
        <v>373</v>
      </c>
      <c r="K409" s="265" t="s">
        <v>374</v>
      </c>
      <c r="L409" s="265" t="s">
        <v>14</v>
      </c>
      <c r="M409" s="265" t="s">
        <v>740</v>
      </c>
      <c r="N409" s="265" t="s">
        <v>728</v>
      </c>
      <c r="O409" s="265" t="s">
        <v>11</v>
      </c>
    </row>
    <row r="410" spans="1:15" s="129" customFormat="1" x14ac:dyDescent="0.25">
      <c r="A410" s="130">
        <v>4</v>
      </c>
      <c r="B410" s="130">
        <v>4</v>
      </c>
      <c r="C410" s="130" t="s">
        <v>880</v>
      </c>
      <c r="D410" s="130">
        <v>1</v>
      </c>
      <c r="E410" s="130" t="s">
        <v>754</v>
      </c>
      <c r="F410" s="130">
        <v>1</v>
      </c>
      <c r="G410" s="130">
        <v>1</v>
      </c>
      <c r="H410" s="130">
        <v>1</v>
      </c>
      <c r="I410" s="131">
        <v>219692.52392578099</v>
      </c>
      <c r="J410" s="130" t="s">
        <v>99</v>
      </c>
      <c r="K410" s="130" t="s">
        <v>100</v>
      </c>
      <c r="L410" s="130" t="s">
        <v>18</v>
      </c>
      <c r="M410" s="130" t="s">
        <v>19</v>
      </c>
      <c r="N410" s="130" t="s">
        <v>15</v>
      </c>
      <c r="O410" s="130" t="s">
        <v>11</v>
      </c>
    </row>
    <row r="411" spans="1:15" s="264" customFormat="1" x14ac:dyDescent="0.25">
      <c r="A411" s="262">
        <v>4</v>
      </c>
      <c r="B411" s="262">
        <v>4</v>
      </c>
      <c r="C411" s="262" t="s">
        <v>880</v>
      </c>
      <c r="D411" s="262">
        <v>1</v>
      </c>
      <c r="E411" s="262" t="s">
        <v>754</v>
      </c>
      <c r="F411" s="262">
        <v>1</v>
      </c>
      <c r="G411" s="262">
        <v>1</v>
      </c>
      <c r="H411" s="262">
        <v>1</v>
      </c>
      <c r="I411" s="263">
        <v>57699.823730468699</v>
      </c>
      <c r="J411" s="262" t="s">
        <v>197</v>
      </c>
      <c r="K411" s="262" t="s">
        <v>198</v>
      </c>
      <c r="L411" s="262" t="s">
        <v>30</v>
      </c>
      <c r="M411" s="262" t="s">
        <v>732</v>
      </c>
      <c r="N411" s="262" t="s">
        <v>727</v>
      </c>
      <c r="O411" s="262" t="s">
        <v>11</v>
      </c>
    </row>
    <row r="412" spans="1:15" s="269" customFormat="1" x14ac:dyDescent="0.25">
      <c r="A412" s="267">
        <v>4</v>
      </c>
      <c r="B412" s="267">
        <v>4</v>
      </c>
      <c r="C412" s="267" t="s">
        <v>880</v>
      </c>
      <c r="D412" s="267">
        <v>1</v>
      </c>
      <c r="E412" s="267" t="s">
        <v>754</v>
      </c>
      <c r="F412" s="267">
        <v>1</v>
      </c>
      <c r="G412" s="267">
        <v>1</v>
      </c>
      <c r="H412" s="267">
        <v>1</v>
      </c>
      <c r="I412" s="268">
        <v>166640.47949218701</v>
      </c>
      <c r="J412" s="267" t="s">
        <v>492</v>
      </c>
      <c r="K412" s="267" t="s">
        <v>493</v>
      </c>
      <c r="L412" s="267" t="s">
        <v>14</v>
      </c>
      <c r="M412" s="267" t="s">
        <v>740</v>
      </c>
      <c r="N412" s="267" t="s">
        <v>729</v>
      </c>
      <c r="O412" s="267" t="s">
        <v>741</v>
      </c>
    </row>
    <row r="413" spans="1:15" s="264" customFormat="1" x14ac:dyDescent="0.25">
      <c r="A413" s="262">
        <v>4</v>
      </c>
      <c r="B413" s="262">
        <v>4</v>
      </c>
      <c r="C413" s="262" t="s">
        <v>880</v>
      </c>
      <c r="D413" s="262">
        <v>1</v>
      </c>
      <c r="E413" s="262" t="s">
        <v>754</v>
      </c>
      <c r="F413" s="262">
        <v>1</v>
      </c>
      <c r="G413" s="262">
        <v>1</v>
      </c>
      <c r="H413" s="262">
        <v>1</v>
      </c>
      <c r="I413" s="263">
        <v>56358.370605468699</v>
      </c>
      <c r="J413" s="262" t="s">
        <v>132</v>
      </c>
      <c r="K413" s="262" t="s">
        <v>133</v>
      </c>
      <c r="L413" s="262" t="s">
        <v>30</v>
      </c>
      <c r="M413" s="262" t="s">
        <v>732</v>
      </c>
      <c r="N413" s="262" t="s">
        <v>727</v>
      </c>
      <c r="O413" s="262" t="s">
        <v>11</v>
      </c>
    </row>
    <row r="414" spans="1:15" s="218" customFormat="1" x14ac:dyDescent="0.25">
      <c r="A414" s="265">
        <v>4</v>
      </c>
      <c r="B414" s="265">
        <v>4</v>
      </c>
      <c r="C414" s="265" t="s">
        <v>880</v>
      </c>
      <c r="D414" s="265">
        <v>1</v>
      </c>
      <c r="E414" s="265" t="s">
        <v>754</v>
      </c>
      <c r="F414" s="265">
        <v>1</v>
      </c>
      <c r="G414" s="265">
        <v>1</v>
      </c>
      <c r="H414" s="265">
        <v>1</v>
      </c>
      <c r="I414" s="266">
        <v>766820.64794921805</v>
      </c>
      <c r="J414" s="265" t="s">
        <v>108</v>
      </c>
      <c r="K414" s="265" t="s">
        <v>109</v>
      </c>
      <c r="L414" s="265" t="s">
        <v>18</v>
      </c>
      <c r="M414" s="265" t="s">
        <v>19</v>
      </c>
      <c r="N414" s="265" t="s">
        <v>728</v>
      </c>
      <c r="O414" s="265" t="s">
        <v>11</v>
      </c>
    </row>
    <row r="415" spans="1:15" s="218" customFormat="1" x14ac:dyDescent="0.25">
      <c r="A415" s="265">
        <v>4</v>
      </c>
      <c r="B415" s="265">
        <v>4</v>
      </c>
      <c r="C415" s="265" t="s">
        <v>880</v>
      </c>
      <c r="D415" s="265">
        <v>1</v>
      </c>
      <c r="E415" s="265" t="s">
        <v>754</v>
      </c>
      <c r="F415" s="265">
        <v>1</v>
      </c>
      <c r="G415" s="265">
        <v>1</v>
      </c>
      <c r="H415" s="265">
        <v>1</v>
      </c>
      <c r="I415" s="266">
        <v>1414018.0947265599</v>
      </c>
      <c r="J415" s="265" t="s">
        <v>428</v>
      </c>
      <c r="K415" s="265" t="s">
        <v>429</v>
      </c>
      <c r="L415" s="265" t="s">
        <v>14</v>
      </c>
      <c r="M415" s="265" t="s">
        <v>740</v>
      </c>
      <c r="N415" s="265" t="s">
        <v>728</v>
      </c>
      <c r="O415" s="265" t="s">
        <v>741</v>
      </c>
    </row>
    <row r="416" spans="1:15" s="129" customFormat="1" x14ac:dyDescent="0.25">
      <c r="A416" s="130">
        <v>4</v>
      </c>
      <c r="B416" s="130">
        <v>4</v>
      </c>
      <c r="C416" s="130" t="s">
        <v>880</v>
      </c>
      <c r="D416" s="130">
        <v>1</v>
      </c>
      <c r="E416" s="130" t="s">
        <v>754</v>
      </c>
      <c r="F416" s="130">
        <v>1</v>
      </c>
      <c r="G416" s="130">
        <v>1</v>
      </c>
      <c r="H416" s="130">
        <v>1</v>
      </c>
      <c r="I416" s="131">
        <v>37919.3818359375</v>
      </c>
      <c r="J416" s="130" t="s">
        <v>134</v>
      </c>
      <c r="K416" s="130" t="s">
        <v>135</v>
      </c>
      <c r="L416" s="130" t="s">
        <v>14</v>
      </c>
      <c r="M416" s="130" t="s">
        <v>740</v>
      </c>
      <c r="N416" s="130" t="s">
        <v>15</v>
      </c>
      <c r="O416" s="130" t="s">
        <v>879</v>
      </c>
    </row>
    <row r="417" spans="1:15" s="218" customFormat="1" x14ac:dyDescent="0.25">
      <c r="A417" s="265">
        <v>4</v>
      </c>
      <c r="B417" s="265">
        <v>4</v>
      </c>
      <c r="C417" s="265" t="s">
        <v>880</v>
      </c>
      <c r="D417" s="265">
        <v>1</v>
      </c>
      <c r="E417" s="265" t="s">
        <v>754</v>
      </c>
      <c r="F417" s="265">
        <v>1</v>
      </c>
      <c r="G417" s="265">
        <v>1</v>
      </c>
      <c r="H417" s="265">
        <v>1</v>
      </c>
      <c r="I417" s="266">
        <v>174185.08691406201</v>
      </c>
      <c r="J417" s="265" t="s">
        <v>492</v>
      </c>
      <c r="K417" s="265" t="s">
        <v>493</v>
      </c>
      <c r="L417" s="265" t="s">
        <v>14</v>
      </c>
      <c r="M417" s="265" t="s">
        <v>740</v>
      </c>
      <c r="N417" s="265" t="s">
        <v>728</v>
      </c>
      <c r="O417" s="265" t="s">
        <v>741</v>
      </c>
    </row>
    <row r="418" spans="1:15" s="264" customFormat="1" x14ac:dyDescent="0.25">
      <c r="A418" s="262">
        <v>4</v>
      </c>
      <c r="B418" s="262">
        <v>4</v>
      </c>
      <c r="C418" s="262" t="s">
        <v>880</v>
      </c>
      <c r="D418" s="262">
        <v>1</v>
      </c>
      <c r="E418" s="262" t="s">
        <v>754</v>
      </c>
      <c r="F418" s="262">
        <v>1</v>
      </c>
      <c r="G418" s="262">
        <v>1</v>
      </c>
      <c r="H418" s="262">
        <v>1</v>
      </c>
      <c r="I418" s="263">
        <v>152758.47265625</v>
      </c>
      <c r="J418" s="262" t="s">
        <v>492</v>
      </c>
      <c r="K418" s="262" t="s">
        <v>493</v>
      </c>
      <c r="L418" s="262" t="s">
        <v>14</v>
      </c>
      <c r="M418" s="262" t="s">
        <v>740</v>
      </c>
      <c r="N418" s="262" t="s">
        <v>727</v>
      </c>
      <c r="O418" s="262" t="s">
        <v>741</v>
      </c>
    </row>
    <row r="419" spans="1:15" s="129" customFormat="1" x14ac:dyDescent="0.25">
      <c r="A419" s="130">
        <v>4</v>
      </c>
      <c r="B419" s="130">
        <v>4</v>
      </c>
      <c r="C419" s="130" t="s">
        <v>880</v>
      </c>
      <c r="D419" s="130">
        <v>1</v>
      </c>
      <c r="E419" s="130" t="s">
        <v>754</v>
      </c>
      <c r="F419" s="130">
        <v>1</v>
      </c>
      <c r="G419" s="130">
        <v>1</v>
      </c>
      <c r="H419" s="130">
        <v>1</v>
      </c>
      <c r="I419" s="131">
        <v>9802.478515625</v>
      </c>
      <c r="J419" s="130" t="s">
        <v>507</v>
      </c>
      <c r="K419" s="130" t="s">
        <v>508</v>
      </c>
      <c r="L419" s="130" t="s">
        <v>80</v>
      </c>
      <c r="M419" s="130" t="s">
        <v>733</v>
      </c>
      <c r="N419" s="130" t="s">
        <v>15</v>
      </c>
      <c r="O419" s="130" t="s">
        <v>11</v>
      </c>
    </row>
    <row r="420" spans="1:15" s="129" customFormat="1" x14ac:dyDescent="0.25">
      <c r="A420" s="130">
        <v>4</v>
      </c>
      <c r="B420" s="130">
        <v>4</v>
      </c>
      <c r="C420" s="130" t="s">
        <v>880</v>
      </c>
      <c r="D420" s="130">
        <v>1</v>
      </c>
      <c r="E420" s="130" t="s">
        <v>754</v>
      </c>
      <c r="F420" s="130">
        <v>1</v>
      </c>
      <c r="G420" s="130">
        <v>1</v>
      </c>
      <c r="H420" s="130">
        <v>1</v>
      </c>
      <c r="I420" s="131">
        <v>1465836.0292968701</v>
      </c>
      <c r="J420" s="130" t="s">
        <v>476</v>
      </c>
      <c r="K420" s="130" t="s">
        <v>477</v>
      </c>
      <c r="L420" s="130" t="s">
        <v>18</v>
      </c>
      <c r="M420" s="130" t="s">
        <v>19</v>
      </c>
      <c r="N420" s="130" t="s">
        <v>15</v>
      </c>
      <c r="O420" s="130" t="s">
        <v>11</v>
      </c>
    </row>
    <row r="421" spans="1:15" s="218" customFormat="1" x14ac:dyDescent="0.25">
      <c r="A421" s="265">
        <v>4</v>
      </c>
      <c r="B421" s="265">
        <v>4</v>
      </c>
      <c r="C421" s="265" t="s">
        <v>880</v>
      </c>
      <c r="D421" s="265">
        <v>1</v>
      </c>
      <c r="E421" s="265" t="s">
        <v>754</v>
      </c>
      <c r="F421" s="265">
        <v>1</v>
      </c>
      <c r="G421" s="265">
        <v>1</v>
      </c>
      <c r="H421" s="265">
        <v>1</v>
      </c>
      <c r="I421" s="266">
        <v>407101.50634765602</v>
      </c>
      <c r="J421" s="265" t="s">
        <v>141</v>
      </c>
      <c r="K421" s="265" t="s">
        <v>142</v>
      </c>
      <c r="L421" s="265" t="s">
        <v>46</v>
      </c>
      <c r="M421" s="265" t="s">
        <v>883</v>
      </c>
      <c r="N421" s="265" t="s">
        <v>728</v>
      </c>
      <c r="O421" s="265" t="s">
        <v>11</v>
      </c>
    </row>
    <row r="422" spans="1:15" s="218" customFormat="1" x14ac:dyDescent="0.25">
      <c r="A422" s="265">
        <v>4</v>
      </c>
      <c r="B422" s="265">
        <v>4</v>
      </c>
      <c r="C422" s="265" t="s">
        <v>880</v>
      </c>
      <c r="D422" s="265">
        <v>1</v>
      </c>
      <c r="E422" s="265" t="s">
        <v>754</v>
      </c>
      <c r="F422" s="265">
        <v>1</v>
      </c>
      <c r="G422" s="265">
        <v>1</v>
      </c>
      <c r="H422" s="265">
        <v>1</v>
      </c>
      <c r="I422" s="266">
        <v>1074572.3964843701</v>
      </c>
      <c r="J422" s="265" t="s">
        <v>171</v>
      </c>
      <c r="K422" s="265" t="s">
        <v>172</v>
      </c>
      <c r="L422" s="265" t="s">
        <v>30</v>
      </c>
      <c r="M422" s="265" t="s">
        <v>732</v>
      </c>
      <c r="N422" s="265" t="s">
        <v>728</v>
      </c>
      <c r="O422" s="265" t="s">
        <v>11</v>
      </c>
    </row>
    <row r="423" spans="1:15" s="264" customFormat="1" x14ac:dyDescent="0.25">
      <c r="A423" s="262">
        <v>4</v>
      </c>
      <c r="B423" s="262">
        <v>4</v>
      </c>
      <c r="C423" s="262" t="s">
        <v>880</v>
      </c>
      <c r="D423" s="262">
        <v>1</v>
      </c>
      <c r="E423" s="262" t="s">
        <v>754</v>
      </c>
      <c r="F423" s="262">
        <v>1</v>
      </c>
      <c r="G423" s="262">
        <v>1</v>
      </c>
      <c r="H423" s="262">
        <v>1</v>
      </c>
      <c r="I423" s="263">
        <v>104058.602050781</v>
      </c>
      <c r="J423" s="262" t="s">
        <v>369</v>
      </c>
      <c r="K423" s="262" t="s">
        <v>370</v>
      </c>
      <c r="L423" s="262" t="s">
        <v>14</v>
      </c>
      <c r="M423" s="262" t="s">
        <v>740</v>
      </c>
      <c r="N423" s="262" t="s">
        <v>727</v>
      </c>
      <c r="O423" s="262" t="s">
        <v>741</v>
      </c>
    </row>
    <row r="424" spans="1:15" s="218" customFormat="1" x14ac:dyDescent="0.25">
      <c r="A424" s="265">
        <v>4</v>
      </c>
      <c r="B424" s="265">
        <v>4</v>
      </c>
      <c r="C424" s="265" t="s">
        <v>880</v>
      </c>
      <c r="D424" s="265">
        <v>1</v>
      </c>
      <c r="E424" s="265" t="s">
        <v>754</v>
      </c>
      <c r="F424" s="265">
        <v>1</v>
      </c>
      <c r="G424" s="265">
        <v>1</v>
      </c>
      <c r="H424" s="265">
        <v>1</v>
      </c>
      <c r="I424" s="266">
        <v>383032.90283203102</v>
      </c>
      <c r="J424" s="265" t="s">
        <v>53</v>
      </c>
      <c r="K424" s="265" t="s">
        <v>54</v>
      </c>
      <c r="L424" s="265" t="s">
        <v>30</v>
      </c>
      <c r="M424" s="265" t="s">
        <v>732</v>
      </c>
      <c r="N424" s="265" t="s">
        <v>728</v>
      </c>
      <c r="O424" s="265" t="s">
        <v>11</v>
      </c>
    </row>
    <row r="425" spans="1:15" s="28" customFormat="1" x14ac:dyDescent="0.25">
      <c r="A425" s="86">
        <v>4</v>
      </c>
      <c r="B425" s="86">
        <v>4</v>
      </c>
      <c r="C425" s="86" t="s">
        <v>880</v>
      </c>
      <c r="D425" s="86">
        <v>1</v>
      </c>
      <c r="E425" s="86" t="s">
        <v>754</v>
      </c>
      <c r="F425" s="86">
        <v>1</v>
      </c>
      <c r="G425" s="86">
        <v>1</v>
      </c>
      <c r="H425" s="86">
        <v>1</v>
      </c>
      <c r="I425" s="87">
        <v>402555.15185546799</v>
      </c>
      <c r="J425" s="86" t="s">
        <v>527</v>
      </c>
      <c r="K425" s="86" t="s">
        <v>528</v>
      </c>
      <c r="L425" s="86" t="s">
        <v>140</v>
      </c>
      <c r="M425" s="86" t="s">
        <v>734</v>
      </c>
      <c r="N425" s="86" t="s">
        <v>726</v>
      </c>
      <c r="O425" s="86" t="s">
        <v>35</v>
      </c>
    </row>
    <row r="426" spans="1:15" s="218" customFormat="1" x14ac:dyDescent="0.25">
      <c r="A426" s="265">
        <v>4</v>
      </c>
      <c r="B426" s="265">
        <v>4</v>
      </c>
      <c r="C426" s="265" t="s">
        <v>880</v>
      </c>
      <c r="D426" s="265">
        <v>1</v>
      </c>
      <c r="E426" s="265" t="s">
        <v>754</v>
      </c>
      <c r="F426" s="265">
        <v>1</v>
      </c>
      <c r="G426" s="265">
        <v>1</v>
      </c>
      <c r="H426" s="265">
        <v>1</v>
      </c>
      <c r="I426" s="266">
        <v>25.84423828125</v>
      </c>
      <c r="J426" s="265" t="s">
        <v>277</v>
      </c>
      <c r="K426" s="265" t="s">
        <v>278</v>
      </c>
      <c r="L426" s="265" t="s">
        <v>46</v>
      </c>
      <c r="M426" s="265" t="s">
        <v>883</v>
      </c>
      <c r="N426" s="265" t="s">
        <v>728</v>
      </c>
      <c r="O426" s="265" t="s">
        <v>11</v>
      </c>
    </row>
    <row r="427" spans="1:15" s="129" customFormat="1" x14ac:dyDescent="0.25">
      <c r="A427" s="130">
        <v>4</v>
      </c>
      <c r="B427" s="130">
        <v>4</v>
      </c>
      <c r="C427" s="130" t="s">
        <v>880</v>
      </c>
      <c r="D427" s="130">
        <v>1</v>
      </c>
      <c r="E427" s="130" t="s">
        <v>754</v>
      </c>
      <c r="F427" s="130">
        <v>1</v>
      </c>
      <c r="G427" s="130">
        <v>1</v>
      </c>
      <c r="H427" s="130">
        <v>1</v>
      </c>
      <c r="I427" s="131">
        <v>91486.9892578125</v>
      </c>
      <c r="J427" s="130" t="s">
        <v>401</v>
      </c>
      <c r="K427" s="130" t="s">
        <v>402</v>
      </c>
      <c r="L427" s="130" t="s">
        <v>14</v>
      </c>
      <c r="M427" s="130" t="s">
        <v>740</v>
      </c>
      <c r="N427" s="130" t="s">
        <v>15</v>
      </c>
      <c r="O427" s="130" t="s">
        <v>879</v>
      </c>
    </row>
    <row r="428" spans="1:15" s="264" customFormat="1" x14ac:dyDescent="0.25">
      <c r="A428" s="262">
        <v>4</v>
      </c>
      <c r="B428" s="262">
        <v>4</v>
      </c>
      <c r="C428" s="262" t="s">
        <v>880</v>
      </c>
      <c r="D428" s="262">
        <v>1</v>
      </c>
      <c r="E428" s="262" t="s">
        <v>754</v>
      </c>
      <c r="F428" s="262">
        <v>1</v>
      </c>
      <c r="G428" s="262">
        <v>1</v>
      </c>
      <c r="H428" s="262">
        <v>1</v>
      </c>
      <c r="I428" s="263">
        <v>977450.966796875</v>
      </c>
      <c r="J428" s="262" t="s">
        <v>472</v>
      </c>
      <c r="K428" s="262" t="s">
        <v>473</v>
      </c>
      <c r="L428" s="262" t="s">
        <v>14</v>
      </c>
      <c r="M428" s="262" t="s">
        <v>740</v>
      </c>
      <c r="N428" s="262" t="s">
        <v>727</v>
      </c>
      <c r="O428" s="262" t="s">
        <v>11</v>
      </c>
    </row>
    <row r="429" spans="1:15" s="129" customFormat="1" x14ac:dyDescent="0.25">
      <c r="A429" s="130">
        <v>4</v>
      </c>
      <c r="B429" s="130">
        <v>4</v>
      </c>
      <c r="C429" s="130" t="s">
        <v>880</v>
      </c>
      <c r="D429" s="130">
        <v>1</v>
      </c>
      <c r="E429" s="130" t="s">
        <v>754</v>
      </c>
      <c r="F429" s="130">
        <v>1</v>
      </c>
      <c r="G429" s="130">
        <v>1</v>
      </c>
      <c r="H429" s="130">
        <v>1</v>
      </c>
      <c r="I429" s="131">
        <v>8736177.1230468694</v>
      </c>
      <c r="J429" s="130" t="s">
        <v>128</v>
      </c>
      <c r="K429" s="130" t="s">
        <v>129</v>
      </c>
      <c r="L429" s="130" t="s">
        <v>80</v>
      </c>
      <c r="M429" s="130" t="s">
        <v>733</v>
      </c>
      <c r="N429" s="130" t="s">
        <v>15</v>
      </c>
      <c r="O429" s="130" t="s">
        <v>11</v>
      </c>
    </row>
    <row r="430" spans="1:15" s="218" customFormat="1" x14ac:dyDescent="0.25">
      <c r="A430" s="265">
        <v>4</v>
      </c>
      <c r="B430" s="265">
        <v>4</v>
      </c>
      <c r="C430" s="265" t="s">
        <v>880</v>
      </c>
      <c r="D430" s="265">
        <v>1</v>
      </c>
      <c r="E430" s="265" t="s">
        <v>754</v>
      </c>
      <c r="F430" s="265">
        <v>1</v>
      </c>
      <c r="G430" s="265">
        <v>1</v>
      </c>
      <c r="H430" s="265">
        <v>1</v>
      </c>
      <c r="I430" s="266">
        <v>115393.225097656</v>
      </c>
      <c r="J430" s="265" t="s">
        <v>529</v>
      </c>
      <c r="K430" s="265" t="s">
        <v>530</v>
      </c>
      <c r="L430" s="265" t="s">
        <v>80</v>
      </c>
      <c r="M430" s="265" t="s">
        <v>733</v>
      </c>
      <c r="N430" s="265" t="s">
        <v>728</v>
      </c>
      <c r="O430" s="265" t="s">
        <v>11</v>
      </c>
    </row>
    <row r="431" spans="1:15" s="129" customFormat="1" x14ac:dyDescent="0.25">
      <c r="A431" s="130">
        <v>4</v>
      </c>
      <c r="B431" s="130">
        <v>4</v>
      </c>
      <c r="C431" s="130" t="s">
        <v>880</v>
      </c>
      <c r="D431" s="130">
        <v>1</v>
      </c>
      <c r="E431" s="130" t="s">
        <v>754</v>
      </c>
      <c r="F431" s="130">
        <v>1</v>
      </c>
      <c r="G431" s="130">
        <v>1</v>
      </c>
      <c r="H431" s="130">
        <v>1</v>
      </c>
      <c r="I431" s="131">
        <v>754203.265625</v>
      </c>
      <c r="J431" s="130" t="s">
        <v>132</v>
      </c>
      <c r="K431" s="130" t="s">
        <v>133</v>
      </c>
      <c r="L431" s="130" t="s">
        <v>30</v>
      </c>
      <c r="M431" s="130" t="s">
        <v>732</v>
      </c>
      <c r="N431" s="130" t="s">
        <v>15</v>
      </c>
      <c r="O431" s="130" t="s">
        <v>11</v>
      </c>
    </row>
    <row r="432" spans="1:15" s="129" customFormat="1" x14ac:dyDescent="0.25">
      <c r="A432" s="130">
        <v>4</v>
      </c>
      <c r="B432" s="130">
        <v>4</v>
      </c>
      <c r="C432" s="130" t="s">
        <v>880</v>
      </c>
      <c r="D432" s="130">
        <v>1</v>
      </c>
      <c r="E432" s="130" t="s">
        <v>754</v>
      </c>
      <c r="F432" s="130">
        <v>1</v>
      </c>
      <c r="G432" s="130">
        <v>1</v>
      </c>
      <c r="H432" s="130">
        <v>1</v>
      </c>
      <c r="I432" s="131">
        <v>473480.59814453102</v>
      </c>
      <c r="J432" s="130" t="s">
        <v>303</v>
      </c>
      <c r="K432" s="130" t="s">
        <v>304</v>
      </c>
      <c r="L432" s="130" t="s">
        <v>30</v>
      </c>
      <c r="M432" s="130" t="s">
        <v>732</v>
      </c>
      <c r="N432" s="130" t="s">
        <v>15</v>
      </c>
      <c r="O432" s="130" t="s">
        <v>11</v>
      </c>
    </row>
    <row r="433" spans="1:15" s="218" customFormat="1" x14ac:dyDescent="0.25">
      <c r="A433" s="265">
        <v>4</v>
      </c>
      <c r="B433" s="265">
        <v>4</v>
      </c>
      <c r="C433" s="265" t="s">
        <v>880</v>
      </c>
      <c r="D433" s="265">
        <v>1</v>
      </c>
      <c r="E433" s="265" t="s">
        <v>754</v>
      </c>
      <c r="F433" s="265">
        <v>1</v>
      </c>
      <c r="G433" s="265">
        <v>1</v>
      </c>
      <c r="H433" s="265">
        <v>1</v>
      </c>
      <c r="I433" s="266">
        <v>166708.49755859299</v>
      </c>
      <c r="J433" s="265" t="s">
        <v>369</v>
      </c>
      <c r="K433" s="265" t="s">
        <v>370</v>
      </c>
      <c r="L433" s="265" t="s">
        <v>14</v>
      </c>
      <c r="M433" s="265" t="s">
        <v>740</v>
      </c>
      <c r="N433" s="265" t="s">
        <v>728</v>
      </c>
      <c r="O433" s="265" t="s">
        <v>741</v>
      </c>
    </row>
    <row r="434" spans="1:15" s="129" customFormat="1" x14ac:dyDescent="0.25">
      <c r="A434" s="130">
        <v>4</v>
      </c>
      <c r="B434" s="130">
        <v>4</v>
      </c>
      <c r="C434" s="130" t="s">
        <v>880</v>
      </c>
      <c r="D434" s="130">
        <v>1</v>
      </c>
      <c r="E434" s="130" t="s">
        <v>754</v>
      </c>
      <c r="F434" s="130">
        <v>1</v>
      </c>
      <c r="G434" s="130">
        <v>1</v>
      </c>
      <c r="H434" s="130">
        <v>1</v>
      </c>
      <c r="I434" s="131">
        <v>666707.38037109305</v>
      </c>
      <c r="J434" s="130" t="s">
        <v>255</v>
      </c>
      <c r="K434" s="130" t="s">
        <v>256</v>
      </c>
      <c r="L434" s="130" t="s">
        <v>30</v>
      </c>
      <c r="M434" s="130" t="s">
        <v>732</v>
      </c>
      <c r="N434" s="130" t="s">
        <v>15</v>
      </c>
      <c r="O434" s="130" t="s">
        <v>11</v>
      </c>
    </row>
    <row r="435" spans="1:15" s="218" customFormat="1" x14ac:dyDescent="0.25">
      <c r="A435" s="265">
        <v>4</v>
      </c>
      <c r="B435" s="265">
        <v>4</v>
      </c>
      <c r="C435" s="265" t="s">
        <v>880</v>
      </c>
      <c r="D435" s="265">
        <v>1</v>
      </c>
      <c r="E435" s="265" t="s">
        <v>754</v>
      </c>
      <c r="F435" s="265">
        <v>1</v>
      </c>
      <c r="G435" s="265">
        <v>1</v>
      </c>
      <c r="H435" s="265">
        <v>1</v>
      </c>
      <c r="I435" s="266">
        <v>192752.38330078099</v>
      </c>
      <c r="J435" s="265" t="s">
        <v>460</v>
      </c>
      <c r="K435" s="265" t="s">
        <v>461</v>
      </c>
      <c r="L435" s="265" t="s">
        <v>30</v>
      </c>
      <c r="M435" s="265" t="s">
        <v>732</v>
      </c>
      <c r="N435" s="265" t="s">
        <v>728</v>
      </c>
      <c r="O435" s="265" t="s">
        <v>11</v>
      </c>
    </row>
    <row r="436" spans="1:15" s="218" customFormat="1" x14ac:dyDescent="0.25">
      <c r="A436" s="265">
        <v>4</v>
      </c>
      <c r="B436" s="265">
        <v>4</v>
      </c>
      <c r="C436" s="265" t="s">
        <v>880</v>
      </c>
      <c r="D436" s="265">
        <v>1</v>
      </c>
      <c r="E436" s="265" t="s">
        <v>754</v>
      </c>
      <c r="F436" s="265">
        <v>1</v>
      </c>
      <c r="G436" s="265">
        <v>1</v>
      </c>
      <c r="H436" s="265">
        <v>1</v>
      </c>
      <c r="I436" s="266">
        <v>1396730.5043945301</v>
      </c>
      <c r="J436" s="265" t="s">
        <v>255</v>
      </c>
      <c r="K436" s="265" t="s">
        <v>256</v>
      </c>
      <c r="L436" s="265" t="s">
        <v>30</v>
      </c>
      <c r="M436" s="265" t="s">
        <v>732</v>
      </c>
      <c r="N436" s="265" t="s">
        <v>728</v>
      </c>
      <c r="O436" s="265" t="s">
        <v>11</v>
      </c>
    </row>
    <row r="437" spans="1:15" s="218" customFormat="1" x14ac:dyDescent="0.25">
      <c r="A437" s="265">
        <v>4</v>
      </c>
      <c r="B437" s="265">
        <v>4</v>
      </c>
      <c r="C437" s="265" t="s">
        <v>880</v>
      </c>
      <c r="D437" s="265">
        <v>1</v>
      </c>
      <c r="E437" s="265" t="s">
        <v>754</v>
      </c>
      <c r="F437" s="265">
        <v>1</v>
      </c>
      <c r="G437" s="265">
        <v>1</v>
      </c>
      <c r="H437" s="265">
        <v>1</v>
      </c>
      <c r="I437" s="266">
        <v>1458289.70947265</v>
      </c>
      <c r="J437" s="265" t="s">
        <v>67</v>
      </c>
      <c r="K437" s="265" t="s">
        <v>68</v>
      </c>
      <c r="L437" s="265" t="s">
        <v>30</v>
      </c>
      <c r="M437" s="265" t="s">
        <v>732</v>
      </c>
      <c r="N437" s="265" t="s">
        <v>728</v>
      </c>
      <c r="O437" s="265" t="s">
        <v>11</v>
      </c>
    </row>
    <row r="438" spans="1:15" s="218" customFormat="1" x14ac:dyDescent="0.25">
      <c r="A438" s="265">
        <v>4</v>
      </c>
      <c r="B438" s="265">
        <v>4</v>
      </c>
      <c r="C438" s="265" t="s">
        <v>880</v>
      </c>
      <c r="D438" s="265">
        <v>1</v>
      </c>
      <c r="E438" s="265" t="s">
        <v>754</v>
      </c>
      <c r="F438" s="265">
        <v>1</v>
      </c>
      <c r="G438" s="265">
        <v>1</v>
      </c>
      <c r="H438" s="265">
        <v>1</v>
      </c>
      <c r="I438" s="266">
        <v>754991.06005859305</v>
      </c>
      <c r="J438" s="265" t="s">
        <v>442</v>
      </c>
      <c r="K438" s="265" t="s">
        <v>443</v>
      </c>
      <c r="L438" s="265" t="s">
        <v>14</v>
      </c>
      <c r="M438" s="265" t="s">
        <v>740</v>
      </c>
      <c r="N438" s="265" t="s">
        <v>728</v>
      </c>
      <c r="O438" s="265" t="s">
        <v>11</v>
      </c>
    </row>
    <row r="439" spans="1:15" s="264" customFormat="1" x14ac:dyDescent="0.25">
      <c r="A439" s="262">
        <v>4</v>
      </c>
      <c r="B439" s="262">
        <v>4</v>
      </c>
      <c r="C439" s="262" t="s">
        <v>880</v>
      </c>
      <c r="D439" s="262">
        <v>1</v>
      </c>
      <c r="E439" s="262" t="s">
        <v>754</v>
      </c>
      <c r="F439" s="262">
        <v>1</v>
      </c>
      <c r="G439" s="262">
        <v>1</v>
      </c>
      <c r="H439" s="262">
        <v>1</v>
      </c>
      <c r="I439" s="263">
        <v>1236232.18115234</v>
      </c>
      <c r="J439" s="262" t="s">
        <v>476</v>
      </c>
      <c r="K439" s="262" t="s">
        <v>477</v>
      </c>
      <c r="L439" s="262" t="s">
        <v>18</v>
      </c>
      <c r="M439" s="262" t="s">
        <v>19</v>
      </c>
      <c r="N439" s="262" t="s">
        <v>727</v>
      </c>
      <c r="O439" s="262" t="s">
        <v>11</v>
      </c>
    </row>
    <row r="440" spans="1:15" s="264" customFormat="1" x14ac:dyDescent="0.25">
      <c r="A440" s="262">
        <v>4</v>
      </c>
      <c r="B440" s="262">
        <v>4</v>
      </c>
      <c r="C440" s="262" t="s">
        <v>880</v>
      </c>
      <c r="D440" s="262">
        <v>1</v>
      </c>
      <c r="E440" s="262" t="s">
        <v>754</v>
      </c>
      <c r="F440" s="262">
        <v>1</v>
      </c>
      <c r="G440" s="262">
        <v>1</v>
      </c>
      <c r="H440" s="262">
        <v>1</v>
      </c>
      <c r="I440" s="263">
        <v>460266.44238281198</v>
      </c>
      <c r="J440" s="262" t="s">
        <v>355</v>
      </c>
      <c r="K440" s="262" t="s">
        <v>356</v>
      </c>
      <c r="L440" s="262" t="s">
        <v>30</v>
      </c>
      <c r="M440" s="262" t="s">
        <v>732</v>
      </c>
      <c r="N440" s="262" t="s">
        <v>727</v>
      </c>
      <c r="O440" s="262" t="s">
        <v>11</v>
      </c>
    </row>
    <row r="441" spans="1:15" s="218" customFormat="1" x14ac:dyDescent="0.25">
      <c r="A441" s="265">
        <v>4</v>
      </c>
      <c r="B441" s="265">
        <v>4</v>
      </c>
      <c r="C441" s="265" t="s">
        <v>880</v>
      </c>
      <c r="D441" s="265">
        <v>1</v>
      </c>
      <c r="E441" s="265" t="s">
        <v>754</v>
      </c>
      <c r="F441" s="265">
        <v>1</v>
      </c>
      <c r="G441" s="265">
        <v>1</v>
      </c>
      <c r="H441" s="265">
        <v>1</v>
      </c>
      <c r="I441" s="266">
        <v>271386.38427734299</v>
      </c>
      <c r="J441" s="265" t="s">
        <v>405</v>
      </c>
      <c r="K441" s="265" t="s">
        <v>406</v>
      </c>
      <c r="L441" s="265" t="s">
        <v>30</v>
      </c>
      <c r="M441" s="265" t="s">
        <v>732</v>
      </c>
      <c r="N441" s="265" t="s">
        <v>728</v>
      </c>
      <c r="O441" s="265" t="s">
        <v>11</v>
      </c>
    </row>
    <row r="442" spans="1:15" s="264" customFormat="1" x14ac:dyDescent="0.25">
      <c r="A442" s="262">
        <v>4</v>
      </c>
      <c r="B442" s="262">
        <v>4</v>
      </c>
      <c r="C442" s="262" t="s">
        <v>880</v>
      </c>
      <c r="D442" s="262">
        <v>1</v>
      </c>
      <c r="E442" s="262" t="s">
        <v>754</v>
      </c>
      <c r="F442" s="262">
        <v>1</v>
      </c>
      <c r="G442" s="262">
        <v>1</v>
      </c>
      <c r="H442" s="262">
        <v>1</v>
      </c>
      <c r="I442" s="263">
        <v>43459.044433593699</v>
      </c>
      <c r="J442" s="262" t="s">
        <v>122</v>
      </c>
      <c r="K442" s="262" t="s">
        <v>123</v>
      </c>
      <c r="L442" s="262" t="s">
        <v>30</v>
      </c>
      <c r="M442" s="262" t="s">
        <v>732</v>
      </c>
      <c r="N442" s="262" t="s">
        <v>727</v>
      </c>
      <c r="O442" s="262" t="s">
        <v>11</v>
      </c>
    </row>
    <row r="443" spans="1:15" s="28" customFormat="1" x14ac:dyDescent="0.25">
      <c r="A443" s="86">
        <v>4</v>
      </c>
      <c r="B443" s="86">
        <v>4</v>
      </c>
      <c r="C443" s="86" t="s">
        <v>880</v>
      </c>
      <c r="D443" s="86">
        <v>1</v>
      </c>
      <c r="E443" s="86" t="s">
        <v>754</v>
      </c>
      <c r="F443" s="86">
        <v>1</v>
      </c>
      <c r="G443" s="86">
        <v>1</v>
      </c>
      <c r="H443" s="86">
        <v>1</v>
      </c>
      <c r="I443" s="87">
        <v>7041.92724609375</v>
      </c>
      <c r="J443" s="86" t="s">
        <v>543</v>
      </c>
      <c r="K443" s="86" t="s">
        <v>544</v>
      </c>
      <c r="L443" s="86" t="s">
        <v>140</v>
      </c>
      <c r="M443" s="86" t="s">
        <v>734</v>
      </c>
      <c r="N443" s="86" t="s">
        <v>726</v>
      </c>
      <c r="O443" s="86" t="s">
        <v>35</v>
      </c>
    </row>
    <row r="444" spans="1:15" s="264" customFormat="1" x14ac:dyDescent="0.25">
      <c r="A444" s="262">
        <v>4</v>
      </c>
      <c r="B444" s="262">
        <v>4</v>
      </c>
      <c r="C444" s="262" t="s">
        <v>880</v>
      </c>
      <c r="D444" s="262">
        <v>1</v>
      </c>
      <c r="E444" s="262" t="s">
        <v>754</v>
      </c>
      <c r="F444" s="262">
        <v>1</v>
      </c>
      <c r="G444" s="262">
        <v>1</v>
      </c>
      <c r="H444" s="262">
        <v>1</v>
      </c>
      <c r="I444" s="263">
        <v>7050.5400390625</v>
      </c>
      <c r="J444" s="262" t="s">
        <v>273</v>
      </c>
      <c r="K444" s="262" t="s">
        <v>274</v>
      </c>
      <c r="L444" s="262" t="s">
        <v>80</v>
      </c>
      <c r="M444" s="262" t="s">
        <v>733</v>
      </c>
      <c r="N444" s="262" t="s">
        <v>727</v>
      </c>
      <c r="O444" s="262" t="s">
        <v>11</v>
      </c>
    </row>
    <row r="445" spans="1:15" s="129" customFormat="1" x14ac:dyDescent="0.25">
      <c r="A445" s="130">
        <v>4</v>
      </c>
      <c r="B445" s="130">
        <v>4</v>
      </c>
      <c r="C445" s="130" t="s">
        <v>880</v>
      </c>
      <c r="D445" s="130">
        <v>1</v>
      </c>
      <c r="E445" s="130" t="s">
        <v>754</v>
      </c>
      <c r="F445" s="130">
        <v>1</v>
      </c>
      <c r="G445" s="130">
        <v>1</v>
      </c>
      <c r="H445" s="130">
        <v>1</v>
      </c>
      <c r="I445" s="131">
        <v>308217.861328125</v>
      </c>
      <c r="J445" s="130" t="s">
        <v>547</v>
      </c>
      <c r="K445" s="130" t="s">
        <v>548</v>
      </c>
      <c r="L445" s="130" t="s">
        <v>14</v>
      </c>
      <c r="M445" s="130" t="s">
        <v>740</v>
      </c>
      <c r="N445" s="130" t="s">
        <v>15</v>
      </c>
      <c r="O445" s="130" t="s">
        <v>11</v>
      </c>
    </row>
    <row r="446" spans="1:15" s="129" customFormat="1" x14ac:dyDescent="0.25">
      <c r="A446" s="130">
        <v>4</v>
      </c>
      <c r="B446" s="130">
        <v>4</v>
      </c>
      <c r="C446" s="130" t="s">
        <v>880</v>
      </c>
      <c r="D446" s="130">
        <v>1</v>
      </c>
      <c r="E446" s="130" t="s">
        <v>754</v>
      </c>
      <c r="F446" s="130">
        <v>1</v>
      </c>
      <c r="G446" s="130">
        <v>1</v>
      </c>
      <c r="H446" s="130">
        <v>1</v>
      </c>
      <c r="I446" s="131">
        <v>5132907.6372070303</v>
      </c>
      <c r="J446" s="130" t="s">
        <v>219</v>
      </c>
      <c r="K446" s="130" t="s">
        <v>220</v>
      </c>
      <c r="L446" s="130" t="s">
        <v>80</v>
      </c>
      <c r="M446" s="130" t="s">
        <v>733</v>
      </c>
      <c r="N446" s="130" t="s">
        <v>15</v>
      </c>
      <c r="O446" s="130" t="s">
        <v>11</v>
      </c>
    </row>
    <row r="447" spans="1:15" s="129" customFormat="1" x14ac:dyDescent="0.25">
      <c r="A447" s="130">
        <v>4</v>
      </c>
      <c r="B447" s="130">
        <v>4</v>
      </c>
      <c r="C447" s="130" t="s">
        <v>880</v>
      </c>
      <c r="D447" s="130">
        <v>1</v>
      </c>
      <c r="E447" s="130" t="s">
        <v>754</v>
      </c>
      <c r="F447" s="130">
        <v>1</v>
      </c>
      <c r="G447" s="130">
        <v>1</v>
      </c>
      <c r="H447" s="130">
        <v>1</v>
      </c>
      <c r="I447" s="131">
        <v>335702.94091796799</v>
      </c>
      <c r="J447" s="130" t="s">
        <v>391</v>
      </c>
      <c r="K447" s="130" t="s">
        <v>392</v>
      </c>
      <c r="L447" s="130" t="s">
        <v>14</v>
      </c>
      <c r="M447" s="130" t="s">
        <v>740</v>
      </c>
      <c r="N447" s="130" t="s">
        <v>15</v>
      </c>
      <c r="O447" s="130" t="s">
        <v>879</v>
      </c>
    </row>
    <row r="448" spans="1:15" s="129" customFormat="1" x14ac:dyDescent="0.25">
      <c r="A448" s="130">
        <v>4</v>
      </c>
      <c r="B448" s="130">
        <v>4</v>
      </c>
      <c r="C448" s="130" t="s">
        <v>880</v>
      </c>
      <c r="D448" s="130">
        <v>1</v>
      </c>
      <c r="E448" s="130" t="s">
        <v>754</v>
      </c>
      <c r="F448" s="130">
        <v>1</v>
      </c>
      <c r="G448" s="130">
        <v>1</v>
      </c>
      <c r="H448" s="130">
        <v>1</v>
      </c>
      <c r="I448" s="131">
        <v>3729364.5610351502</v>
      </c>
      <c r="J448" s="130" t="s">
        <v>551</v>
      </c>
      <c r="K448" s="130" t="s">
        <v>552</v>
      </c>
      <c r="L448" s="130" t="s">
        <v>30</v>
      </c>
      <c r="M448" s="130" t="s">
        <v>732</v>
      </c>
      <c r="N448" s="130" t="s">
        <v>15</v>
      </c>
      <c r="O448" s="130" t="s">
        <v>11</v>
      </c>
    </row>
    <row r="449" spans="1:15" s="129" customFormat="1" x14ac:dyDescent="0.25">
      <c r="A449" s="130">
        <v>4</v>
      </c>
      <c r="B449" s="130">
        <v>4</v>
      </c>
      <c r="C449" s="130" t="s">
        <v>880</v>
      </c>
      <c r="D449" s="130">
        <v>1</v>
      </c>
      <c r="E449" s="130" t="s">
        <v>754</v>
      </c>
      <c r="F449" s="130">
        <v>1</v>
      </c>
      <c r="G449" s="130">
        <v>1</v>
      </c>
      <c r="H449" s="130">
        <v>1</v>
      </c>
      <c r="I449" s="131">
        <v>3051577.3813476502</v>
      </c>
      <c r="J449" s="130" t="s">
        <v>78</v>
      </c>
      <c r="K449" s="130" t="s">
        <v>79</v>
      </c>
      <c r="L449" s="130" t="s">
        <v>80</v>
      </c>
      <c r="M449" s="130" t="s">
        <v>733</v>
      </c>
      <c r="N449" s="130" t="s">
        <v>15</v>
      </c>
      <c r="O449" s="130" t="s">
        <v>11</v>
      </c>
    </row>
    <row r="450" spans="1:15" s="129" customFormat="1" x14ac:dyDescent="0.25">
      <c r="A450" s="130">
        <v>4</v>
      </c>
      <c r="B450" s="130">
        <v>4</v>
      </c>
      <c r="C450" s="130" t="s">
        <v>880</v>
      </c>
      <c r="D450" s="130">
        <v>1</v>
      </c>
      <c r="E450" s="130" t="s">
        <v>754</v>
      </c>
      <c r="F450" s="130">
        <v>1</v>
      </c>
      <c r="G450" s="130">
        <v>1</v>
      </c>
      <c r="H450" s="130">
        <v>1</v>
      </c>
      <c r="I450" s="131">
        <v>2262289.6684570299</v>
      </c>
      <c r="J450" s="130" t="s">
        <v>331</v>
      </c>
      <c r="K450" s="130" t="s">
        <v>332</v>
      </c>
      <c r="L450" s="130" t="s">
        <v>18</v>
      </c>
      <c r="M450" s="130" t="s">
        <v>19</v>
      </c>
      <c r="N450" s="130" t="s">
        <v>15</v>
      </c>
      <c r="O450" s="130" t="s">
        <v>11</v>
      </c>
    </row>
    <row r="451" spans="1:15" s="264" customFormat="1" x14ac:dyDescent="0.25">
      <c r="A451" s="262">
        <v>4</v>
      </c>
      <c r="B451" s="262">
        <v>4</v>
      </c>
      <c r="C451" s="262" t="s">
        <v>880</v>
      </c>
      <c r="D451" s="262">
        <v>1</v>
      </c>
      <c r="E451" s="262" t="s">
        <v>754</v>
      </c>
      <c r="F451" s="262">
        <v>1</v>
      </c>
      <c r="G451" s="262">
        <v>1</v>
      </c>
      <c r="H451" s="262">
        <v>1</v>
      </c>
      <c r="I451" s="263">
        <v>6647.29833984375</v>
      </c>
      <c r="J451" s="262" t="s">
        <v>357</v>
      </c>
      <c r="K451" s="262" t="s">
        <v>358</v>
      </c>
      <c r="L451" s="262" t="s">
        <v>14</v>
      </c>
      <c r="M451" s="262" t="s">
        <v>740</v>
      </c>
      <c r="N451" s="262" t="s">
        <v>727</v>
      </c>
      <c r="O451" s="262" t="s">
        <v>11</v>
      </c>
    </row>
    <row r="452" spans="1:15" s="269" customFormat="1" x14ac:dyDescent="0.25">
      <c r="A452" s="267">
        <v>4</v>
      </c>
      <c r="B452" s="267">
        <v>4</v>
      </c>
      <c r="C452" s="267" t="s">
        <v>880</v>
      </c>
      <c r="D452" s="267">
        <v>1</v>
      </c>
      <c r="E452" s="267" t="s">
        <v>754</v>
      </c>
      <c r="F452" s="267">
        <v>1</v>
      </c>
      <c r="G452" s="267">
        <v>1</v>
      </c>
      <c r="H452" s="267">
        <v>1</v>
      </c>
      <c r="I452" s="268">
        <v>61.341796875</v>
      </c>
      <c r="J452" s="267" t="s">
        <v>273</v>
      </c>
      <c r="K452" s="267" t="s">
        <v>274</v>
      </c>
      <c r="L452" s="267" t="s">
        <v>80</v>
      </c>
      <c r="M452" s="267" t="s">
        <v>733</v>
      </c>
      <c r="N452" s="267" t="s">
        <v>729</v>
      </c>
      <c r="O452" s="267" t="s">
        <v>11</v>
      </c>
    </row>
    <row r="453" spans="1:15" s="129" customFormat="1" x14ac:dyDescent="0.25">
      <c r="A453" s="130">
        <v>4</v>
      </c>
      <c r="B453" s="130">
        <v>4</v>
      </c>
      <c r="C453" s="130" t="s">
        <v>880</v>
      </c>
      <c r="D453" s="130">
        <v>1</v>
      </c>
      <c r="E453" s="130" t="s">
        <v>754</v>
      </c>
      <c r="F453" s="130">
        <v>1</v>
      </c>
      <c r="G453" s="130">
        <v>1</v>
      </c>
      <c r="H453" s="130">
        <v>1</v>
      </c>
      <c r="I453" s="131">
        <v>123121.26708984299</v>
      </c>
      <c r="J453" s="130" t="s">
        <v>492</v>
      </c>
      <c r="K453" s="130" t="s">
        <v>493</v>
      </c>
      <c r="L453" s="130" t="s">
        <v>14</v>
      </c>
      <c r="M453" s="130" t="s">
        <v>740</v>
      </c>
      <c r="N453" s="130" t="s">
        <v>15</v>
      </c>
      <c r="O453" s="130" t="s">
        <v>879</v>
      </c>
    </row>
    <row r="454" spans="1:15" s="264" customFormat="1" x14ac:dyDescent="0.25">
      <c r="A454" s="262">
        <v>4</v>
      </c>
      <c r="B454" s="262">
        <v>4</v>
      </c>
      <c r="C454" s="262" t="s">
        <v>880</v>
      </c>
      <c r="D454" s="262">
        <v>1</v>
      </c>
      <c r="E454" s="262" t="s">
        <v>754</v>
      </c>
      <c r="F454" s="262">
        <v>1</v>
      </c>
      <c r="G454" s="262">
        <v>1</v>
      </c>
      <c r="H454" s="262">
        <v>1</v>
      </c>
      <c r="I454" s="263">
        <v>383897.974609375</v>
      </c>
      <c r="J454" s="262" t="s">
        <v>149</v>
      </c>
      <c r="K454" s="262" t="s">
        <v>150</v>
      </c>
      <c r="L454" s="262" t="s">
        <v>14</v>
      </c>
      <c r="M454" s="262" t="s">
        <v>740</v>
      </c>
      <c r="N454" s="262" t="s">
        <v>727</v>
      </c>
      <c r="O454" s="262" t="s">
        <v>741</v>
      </c>
    </row>
    <row r="455" spans="1:15" s="129" customFormat="1" x14ac:dyDescent="0.25">
      <c r="A455" s="130">
        <v>4</v>
      </c>
      <c r="B455" s="130">
        <v>4</v>
      </c>
      <c r="C455" s="130" t="s">
        <v>880</v>
      </c>
      <c r="D455" s="130">
        <v>1</v>
      </c>
      <c r="E455" s="130" t="s">
        <v>754</v>
      </c>
      <c r="F455" s="130">
        <v>1</v>
      </c>
      <c r="G455" s="130">
        <v>1</v>
      </c>
      <c r="H455" s="130">
        <v>1</v>
      </c>
      <c r="I455" s="131">
        <v>74040.166015625</v>
      </c>
      <c r="J455" s="130" t="s">
        <v>369</v>
      </c>
      <c r="K455" s="130" t="s">
        <v>370</v>
      </c>
      <c r="L455" s="130" t="s">
        <v>14</v>
      </c>
      <c r="M455" s="130" t="s">
        <v>740</v>
      </c>
      <c r="N455" s="130" t="s">
        <v>15</v>
      </c>
      <c r="O455" s="130" t="s">
        <v>879</v>
      </c>
    </row>
    <row r="456" spans="1:15" s="264" customFormat="1" x14ac:dyDescent="0.25">
      <c r="A456" s="262">
        <v>4</v>
      </c>
      <c r="B456" s="262">
        <v>4</v>
      </c>
      <c r="C456" s="262" t="s">
        <v>880</v>
      </c>
      <c r="D456" s="262">
        <v>1</v>
      </c>
      <c r="E456" s="262" t="s">
        <v>754</v>
      </c>
      <c r="F456" s="262">
        <v>1</v>
      </c>
      <c r="G456" s="262">
        <v>1</v>
      </c>
      <c r="H456" s="262">
        <v>1</v>
      </c>
      <c r="I456" s="263">
        <v>615211.82861328102</v>
      </c>
      <c r="J456" s="262" t="s">
        <v>363</v>
      </c>
      <c r="K456" s="262" t="s">
        <v>364</v>
      </c>
      <c r="L456" s="262" t="s">
        <v>18</v>
      </c>
      <c r="M456" s="262" t="s">
        <v>19</v>
      </c>
      <c r="N456" s="262" t="s">
        <v>727</v>
      </c>
      <c r="O456" s="262" t="s">
        <v>11</v>
      </c>
    </row>
    <row r="457" spans="1:15" s="129" customFormat="1" x14ac:dyDescent="0.25">
      <c r="A457" s="130">
        <v>4</v>
      </c>
      <c r="B457" s="130">
        <v>4</v>
      </c>
      <c r="C457" s="130" t="s">
        <v>880</v>
      </c>
      <c r="D457" s="130">
        <v>1</v>
      </c>
      <c r="E457" s="130" t="s">
        <v>754</v>
      </c>
      <c r="F457" s="130">
        <v>1</v>
      </c>
      <c r="G457" s="130">
        <v>1</v>
      </c>
      <c r="H457" s="130">
        <v>1</v>
      </c>
      <c r="I457" s="131">
        <v>5246408.33349609</v>
      </c>
      <c r="J457" s="130" t="s">
        <v>281</v>
      </c>
      <c r="K457" s="130" t="s">
        <v>282</v>
      </c>
      <c r="L457" s="130" t="s">
        <v>30</v>
      </c>
      <c r="M457" s="130" t="s">
        <v>732</v>
      </c>
      <c r="N457" s="130" t="s">
        <v>15</v>
      </c>
      <c r="O457" s="130" t="s">
        <v>11</v>
      </c>
    </row>
    <row r="458" spans="1:15" s="129" customFormat="1" x14ac:dyDescent="0.25">
      <c r="A458" s="130">
        <v>4</v>
      </c>
      <c r="B458" s="130">
        <v>4</v>
      </c>
      <c r="C458" s="130" t="s">
        <v>880</v>
      </c>
      <c r="D458" s="130">
        <v>1</v>
      </c>
      <c r="E458" s="130" t="s">
        <v>754</v>
      </c>
      <c r="F458" s="130">
        <v>1</v>
      </c>
      <c r="G458" s="130">
        <v>1</v>
      </c>
      <c r="H458" s="130">
        <v>1</v>
      </c>
      <c r="I458" s="131">
        <v>7702648.09130859</v>
      </c>
      <c r="J458" s="130" t="s">
        <v>85</v>
      </c>
      <c r="K458" s="130" t="s">
        <v>86</v>
      </c>
      <c r="L458" s="130" t="s">
        <v>18</v>
      </c>
      <c r="M458" s="130" t="s">
        <v>19</v>
      </c>
      <c r="N458" s="130" t="s">
        <v>15</v>
      </c>
      <c r="O458" s="130" t="s">
        <v>11</v>
      </c>
    </row>
    <row r="459" spans="1:15" s="264" customFormat="1" x14ac:dyDescent="0.25">
      <c r="A459" s="262">
        <v>4</v>
      </c>
      <c r="B459" s="262">
        <v>4</v>
      </c>
      <c r="C459" s="262" t="s">
        <v>880</v>
      </c>
      <c r="D459" s="262">
        <v>1</v>
      </c>
      <c r="E459" s="262" t="s">
        <v>754</v>
      </c>
      <c r="F459" s="262">
        <v>1</v>
      </c>
      <c r="G459" s="262">
        <v>1</v>
      </c>
      <c r="H459" s="262">
        <v>1</v>
      </c>
      <c r="I459" s="263">
        <v>10876.649902343701</v>
      </c>
      <c r="J459" s="262" t="s">
        <v>281</v>
      </c>
      <c r="K459" s="262" t="s">
        <v>282</v>
      </c>
      <c r="L459" s="262" t="s">
        <v>30</v>
      </c>
      <c r="M459" s="262" t="s">
        <v>732</v>
      </c>
      <c r="N459" s="262" t="s">
        <v>727</v>
      </c>
      <c r="O459" s="262" t="s">
        <v>11</v>
      </c>
    </row>
    <row r="460" spans="1:15" s="129" customFormat="1" x14ac:dyDescent="0.25">
      <c r="A460" s="130">
        <v>4</v>
      </c>
      <c r="B460" s="130">
        <v>4</v>
      </c>
      <c r="C460" s="130" t="s">
        <v>880</v>
      </c>
      <c r="D460" s="130">
        <v>1</v>
      </c>
      <c r="E460" s="130" t="s">
        <v>754</v>
      </c>
      <c r="F460" s="130">
        <v>1</v>
      </c>
      <c r="G460" s="130">
        <v>1</v>
      </c>
      <c r="H460" s="130">
        <v>1</v>
      </c>
      <c r="I460" s="131">
        <v>965315.75830078102</v>
      </c>
      <c r="J460" s="130" t="s">
        <v>351</v>
      </c>
      <c r="K460" s="130" t="s">
        <v>352</v>
      </c>
      <c r="L460" s="130" t="s">
        <v>14</v>
      </c>
      <c r="M460" s="130" t="s">
        <v>740</v>
      </c>
      <c r="N460" s="130" t="s">
        <v>15</v>
      </c>
      <c r="O460" s="130" t="s">
        <v>879</v>
      </c>
    </row>
    <row r="461" spans="1:15" s="264" customFormat="1" x14ac:dyDescent="0.25">
      <c r="A461" s="262">
        <v>4</v>
      </c>
      <c r="B461" s="262">
        <v>4</v>
      </c>
      <c r="C461" s="262" t="s">
        <v>880</v>
      </c>
      <c r="D461" s="262">
        <v>1</v>
      </c>
      <c r="E461" s="262" t="s">
        <v>754</v>
      </c>
      <c r="F461" s="262">
        <v>1</v>
      </c>
      <c r="G461" s="262">
        <v>1</v>
      </c>
      <c r="H461" s="262">
        <v>1</v>
      </c>
      <c r="I461" s="263">
        <v>260785.5703125</v>
      </c>
      <c r="J461" s="262" t="s">
        <v>99</v>
      </c>
      <c r="K461" s="262" t="s">
        <v>100</v>
      </c>
      <c r="L461" s="262" t="s">
        <v>18</v>
      </c>
      <c r="M461" s="262" t="s">
        <v>19</v>
      </c>
      <c r="N461" s="262" t="s">
        <v>727</v>
      </c>
      <c r="O461" s="262" t="s">
        <v>11</v>
      </c>
    </row>
    <row r="462" spans="1:15" s="264" customFormat="1" x14ac:dyDescent="0.25">
      <c r="A462" s="262">
        <v>4</v>
      </c>
      <c r="B462" s="262">
        <v>4</v>
      </c>
      <c r="C462" s="262" t="s">
        <v>880</v>
      </c>
      <c r="D462" s="262">
        <v>1</v>
      </c>
      <c r="E462" s="262" t="s">
        <v>754</v>
      </c>
      <c r="F462" s="262">
        <v>1</v>
      </c>
      <c r="G462" s="262">
        <v>1</v>
      </c>
      <c r="H462" s="262">
        <v>1</v>
      </c>
      <c r="I462" s="263">
        <v>650201.85058593703</v>
      </c>
      <c r="J462" s="262" t="s">
        <v>393</v>
      </c>
      <c r="K462" s="262" t="s">
        <v>394</v>
      </c>
      <c r="L462" s="262" t="s">
        <v>18</v>
      </c>
      <c r="M462" s="262" t="s">
        <v>19</v>
      </c>
      <c r="N462" s="262" t="s">
        <v>727</v>
      </c>
      <c r="O462" s="262" t="s">
        <v>11</v>
      </c>
    </row>
    <row r="463" spans="1:15" s="218" customFormat="1" x14ac:dyDescent="0.25">
      <c r="A463" s="265">
        <v>4</v>
      </c>
      <c r="B463" s="265">
        <v>4</v>
      </c>
      <c r="C463" s="265" t="s">
        <v>880</v>
      </c>
      <c r="D463" s="265">
        <v>1</v>
      </c>
      <c r="E463" s="265" t="s">
        <v>754</v>
      </c>
      <c r="F463" s="265">
        <v>1</v>
      </c>
      <c r="G463" s="265">
        <v>1</v>
      </c>
      <c r="H463" s="265">
        <v>1</v>
      </c>
      <c r="I463" s="266">
        <v>159892.20214843701</v>
      </c>
      <c r="J463" s="265" t="s">
        <v>165</v>
      </c>
      <c r="K463" s="265" t="s">
        <v>166</v>
      </c>
      <c r="L463" s="265" t="s">
        <v>30</v>
      </c>
      <c r="M463" s="265" t="s">
        <v>732</v>
      </c>
      <c r="N463" s="265" t="s">
        <v>728</v>
      </c>
      <c r="O463" s="265" t="s">
        <v>11</v>
      </c>
    </row>
    <row r="464" spans="1:15" s="129" customFormat="1" x14ac:dyDescent="0.25">
      <c r="A464" s="130">
        <v>4</v>
      </c>
      <c r="B464" s="130">
        <v>4</v>
      </c>
      <c r="C464" s="130" t="s">
        <v>880</v>
      </c>
      <c r="D464" s="130">
        <v>1</v>
      </c>
      <c r="E464" s="130" t="s">
        <v>754</v>
      </c>
      <c r="F464" s="130">
        <v>1</v>
      </c>
      <c r="G464" s="130">
        <v>1</v>
      </c>
      <c r="H464" s="130">
        <v>1</v>
      </c>
      <c r="I464" s="131">
        <v>776.39111328125</v>
      </c>
      <c r="J464" s="130" t="s">
        <v>434</v>
      </c>
      <c r="K464" s="130" t="s">
        <v>435</v>
      </c>
      <c r="L464" s="130" t="s">
        <v>80</v>
      </c>
      <c r="M464" s="130" t="s">
        <v>733</v>
      </c>
      <c r="N464" s="130" t="s">
        <v>15</v>
      </c>
      <c r="O464" s="130" t="s">
        <v>11</v>
      </c>
    </row>
    <row r="465" spans="1:15" s="129" customFormat="1" x14ac:dyDescent="0.25">
      <c r="A465" s="130">
        <v>4</v>
      </c>
      <c r="B465" s="130">
        <v>4</v>
      </c>
      <c r="C465" s="130" t="s">
        <v>880</v>
      </c>
      <c r="D465" s="130">
        <v>1</v>
      </c>
      <c r="E465" s="130" t="s">
        <v>754</v>
      </c>
      <c r="F465" s="130">
        <v>1</v>
      </c>
      <c r="G465" s="130">
        <v>1</v>
      </c>
      <c r="H465" s="130">
        <v>1</v>
      </c>
      <c r="I465" s="131">
        <v>581426.50097656203</v>
      </c>
      <c r="J465" s="130" t="s">
        <v>67</v>
      </c>
      <c r="K465" s="130" t="s">
        <v>68</v>
      </c>
      <c r="L465" s="130" t="s">
        <v>30</v>
      </c>
      <c r="M465" s="130" t="s">
        <v>732</v>
      </c>
      <c r="N465" s="130" t="s">
        <v>15</v>
      </c>
      <c r="O465" s="130" t="s">
        <v>11</v>
      </c>
    </row>
    <row r="466" spans="1:15" s="264" customFormat="1" x14ac:dyDescent="0.25">
      <c r="A466" s="262">
        <v>4</v>
      </c>
      <c r="B466" s="262">
        <v>4</v>
      </c>
      <c r="C466" s="262" t="s">
        <v>880</v>
      </c>
      <c r="D466" s="262">
        <v>1</v>
      </c>
      <c r="E466" s="262" t="s">
        <v>754</v>
      </c>
      <c r="F466" s="262">
        <v>1</v>
      </c>
      <c r="G466" s="262">
        <v>1</v>
      </c>
      <c r="H466" s="262">
        <v>1</v>
      </c>
      <c r="I466" s="263">
        <v>375198.33154296799</v>
      </c>
      <c r="J466" s="262" t="s">
        <v>575</v>
      </c>
      <c r="K466" s="262" t="s">
        <v>576</v>
      </c>
      <c r="L466" s="262" t="s">
        <v>30</v>
      </c>
      <c r="M466" s="262" t="s">
        <v>732</v>
      </c>
      <c r="N466" s="262" t="s">
        <v>727</v>
      </c>
      <c r="O466" s="262" t="s">
        <v>11</v>
      </c>
    </row>
    <row r="467" spans="1:15" s="264" customFormat="1" x14ac:dyDescent="0.25">
      <c r="A467" s="262">
        <v>4</v>
      </c>
      <c r="B467" s="262">
        <v>4</v>
      </c>
      <c r="C467" s="262" t="s">
        <v>880</v>
      </c>
      <c r="D467" s="262">
        <v>1</v>
      </c>
      <c r="E467" s="262" t="s">
        <v>754</v>
      </c>
      <c r="F467" s="262">
        <v>1</v>
      </c>
      <c r="G467" s="262">
        <v>1</v>
      </c>
      <c r="H467" s="262">
        <v>1</v>
      </c>
      <c r="I467" s="263">
        <v>928403.15087890602</v>
      </c>
      <c r="J467" s="262" t="s">
        <v>389</v>
      </c>
      <c r="K467" s="262" t="s">
        <v>390</v>
      </c>
      <c r="L467" s="262" t="s">
        <v>14</v>
      </c>
      <c r="M467" s="262" t="s">
        <v>740</v>
      </c>
      <c r="N467" s="262" t="s">
        <v>727</v>
      </c>
      <c r="O467" s="262" t="s">
        <v>11</v>
      </c>
    </row>
    <row r="468" spans="1:15" s="218" customFormat="1" x14ac:dyDescent="0.25">
      <c r="A468" s="265">
        <v>4</v>
      </c>
      <c r="B468" s="265">
        <v>4</v>
      </c>
      <c r="C468" s="265" t="s">
        <v>880</v>
      </c>
      <c r="D468" s="265">
        <v>1</v>
      </c>
      <c r="E468" s="265" t="s">
        <v>754</v>
      </c>
      <c r="F468" s="265">
        <v>1</v>
      </c>
      <c r="G468" s="265">
        <v>1</v>
      </c>
      <c r="H468" s="265">
        <v>1</v>
      </c>
      <c r="I468" s="266">
        <v>2276749.04443359</v>
      </c>
      <c r="J468" s="265" t="s">
        <v>448</v>
      </c>
      <c r="K468" s="265" t="s">
        <v>449</v>
      </c>
      <c r="L468" s="265" t="s">
        <v>80</v>
      </c>
      <c r="M468" s="265" t="s">
        <v>733</v>
      </c>
      <c r="N468" s="265" t="s">
        <v>728</v>
      </c>
      <c r="O468" s="265" t="s">
        <v>11</v>
      </c>
    </row>
    <row r="469" spans="1:15" s="264" customFormat="1" x14ac:dyDescent="0.25">
      <c r="A469" s="262">
        <v>4</v>
      </c>
      <c r="B469" s="262">
        <v>4</v>
      </c>
      <c r="C469" s="262" t="s">
        <v>880</v>
      </c>
      <c r="D469" s="262">
        <v>1</v>
      </c>
      <c r="E469" s="262" t="s">
        <v>754</v>
      </c>
      <c r="F469" s="262">
        <v>1</v>
      </c>
      <c r="G469" s="262">
        <v>1</v>
      </c>
      <c r="H469" s="262">
        <v>1</v>
      </c>
      <c r="I469" s="263">
        <v>1143147.08349609</v>
      </c>
      <c r="J469" s="262" t="s">
        <v>452</v>
      </c>
      <c r="K469" s="262" t="s">
        <v>453</v>
      </c>
      <c r="L469" s="262" t="s">
        <v>30</v>
      </c>
      <c r="M469" s="262" t="s">
        <v>732</v>
      </c>
      <c r="N469" s="262" t="s">
        <v>727</v>
      </c>
      <c r="O469" s="262" t="s">
        <v>11</v>
      </c>
    </row>
    <row r="470" spans="1:15" s="264" customFormat="1" x14ac:dyDescent="0.25">
      <c r="A470" s="262">
        <v>4</v>
      </c>
      <c r="B470" s="262">
        <v>4</v>
      </c>
      <c r="C470" s="262" t="s">
        <v>880</v>
      </c>
      <c r="D470" s="262">
        <v>1</v>
      </c>
      <c r="E470" s="262" t="s">
        <v>754</v>
      </c>
      <c r="F470" s="262">
        <v>1</v>
      </c>
      <c r="G470" s="262">
        <v>1</v>
      </c>
      <c r="H470" s="262">
        <v>1</v>
      </c>
      <c r="I470" s="263">
        <v>99831.4091796875</v>
      </c>
      <c r="J470" s="262" t="s">
        <v>347</v>
      </c>
      <c r="K470" s="262" t="s">
        <v>348</v>
      </c>
      <c r="L470" s="262" t="s">
        <v>18</v>
      </c>
      <c r="M470" s="262" t="s">
        <v>19</v>
      </c>
      <c r="N470" s="262" t="s">
        <v>727</v>
      </c>
      <c r="O470" s="262" t="s">
        <v>11</v>
      </c>
    </row>
    <row r="471" spans="1:15" s="264" customFormat="1" x14ac:dyDescent="0.25">
      <c r="A471" s="262">
        <v>4</v>
      </c>
      <c r="B471" s="262">
        <v>4</v>
      </c>
      <c r="C471" s="262" t="s">
        <v>880</v>
      </c>
      <c r="D471" s="262">
        <v>1</v>
      </c>
      <c r="E471" s="262" t="s">
        <v>754</v>
      </c>
      <c r="F471" s="262">
        <v>1</v>
      </c>
      <c r="G471" s="262">
        <v>1</v>
      </c>
      <c r="H471" s="262">
        <v>1</v>
      </c>
      <c r="I471" s="263">
        <v>445443.021484375</v>
      </c>
      <c r="J471" s="262" t="s">
        <v>181</v>
      </c>
      <c r="K471" s="262" t="s">
        <v>182</v>
      </c>
      <c r="L471" s="262" t="s">
        <v>14</v>
      </c>
      <c r="M471" s="262" t="s">
        <v>740</v>
      </c>
      <c r="N471" s="262" t="s">
        <v>727</v>
      </c>
      <c r="O471" s="262" t="s">
        <v>11</v>
      </c>
    </row>
    <row r="472" spans="1:15" s="218" customFormat="1" x14ac:dyDescent="0.25">
      <c r="A472" s="265">
        <v>4</v>
      </c>
      <c r="B472" s="265">
        <v>4</v>
      </c>
      <c r="C472" s="265" t="s">
        <v>880</v>
      </c>
      <c r="D472" s="265">
        <v>1</v>
      </c>
      <c r="E472" s="265" t="s">
        <v>754</v>
      </c>
      <c r="F472" s="265">
        <v>1</v>
      </c>
      <c r="G472" s="265">
        <v>1</v>
      </c>
      <c r="H472" s="265">
        <v>1</v>
      </c>
      <c r="I472" s="266">
        <v>535384.029296875</v>
      </c>
      <c r="J472" s="265" t="s">
        <v>20</v>
      </c>
      <c r="K472" s="265" t="s">
        <v>21</v>
      </c>
      <c r="L472" s="265" t="s">
        <v>18</v>
      </c>
      <c r="M472" s="265" t="s">
        <v>19</v>
      </c>
      <c r="N472" s="265" t="s">
        <v>728</v>
      </c>
      <c r="O472" s="265" t="s">
        <v>11</v>
      </c>
    </row>
    <row r="473" spans="1:15" s="218" customFormat="1" x14ac:dyDescent="0.25">
      <c r="A473" s="265">
        <v>4</v>
      </c>
      <c r="B473" s="265">
        <v>4</v>
      </c>
      <c r="C473" s="265" t="s">
        <v>880</v>
      </c>
      <c r="D473" s="265">
        <v>1</v>
      </c>
      <c r="E473" s="265" t="s">
        <v>754</v>
      </c>
      <c r="F473" s="265">
        <v>1</v>
      </c>
      <c r="G473" s="265">
        <v>1</v>
      </c>
      <c r="H473" s="265">
        <v>1</v>
      </c>
      <c r="I473" s="266">
        <v>149869.29394531201</v>
      </c>
      <c r="J473" s="265" t="s">
        <v>551</v>
      </c>
      <c r="K473" s="265" t="s">
        <v>552</v>
      </c>
      <c r="L473" s="265" t="s">
        <v>30</v>
      </c>
      <c r="M473" s="265" t="s">
        <v>732</v>
      </c>
      <c r="N473" s="265" t="s">
        <v>728</v>
      </c>
      <c r="O473" s="265" t="s">
        <v>11</v>
      </c>
    </row>
    <row r="474" spans="1:15" s="129" customFormat="1" x14ac:dyDescent="0.25">
      <c r="A474" s="130">
        <v>4</v>
      </c>
      <c r="B474" s="130">
        <v>4</v>
      </c>
      <c r="C474" s="130" t="s">
        <v>880</v>
      </c>
      <c r="D474" s="130">
        <v>1</v>
      </c>
      <c r="E474" s="130" t="s">
        <v>754</v>
      </c>
      <c r="F474" s="130">
        <v>1</v>
      </c>
      <c r="G474" s="130">
        <v>1</v>
      </c>
      <c r="H474" s="130">
        <v>1</v>
      </c>
      <c r="I474" s="131">
        <v>826636.185546875</v>
      </c>
      <c r="J474" s="130" t="s">
        <v>165</v>
      </c>
      <c r="K474" s="130" t="s">
        <v>166</v>
      </c>
      <c r="L474" s="130" t="s">
        <v>30</v>
      </c>
      <c r="M474" s="130" t="s">
        <v>732</v>
      </c>
      <c r="N474" s="130" t="s">
        <v>15</v>
      </c>
      <c r="O474" s="130" t="s">
        <v>11</v>
      </c>
    </row>
    <row r="475" spans="1:15" s="218" customFormat="1" x14ac:dyDescent="0.25">
      <c r="A475" s="265">
        <v>4</v>
      </c>
      <c r="B475" s="265">
        <v>4</v>
      </c>
      <c r="C475" s="265" t="s">
        <v>880</v>
      </c>
      <c r="D475" s="265">
        <v>1</v>
      </c>
      <c r="E475" s="265" t="s">
        <v>754</v>
      </c>
      <c r="F475" s="265">
        <v>1</v>
      </c>
      <c r="G475" s="265">
        <v>1</v>
      </c>
      <c r="H475" s="265">
        <v>1</v>
      </c>
      <c r="I475" s="266">
        <v>1535612.86083984</v>
      </c>
      <c r="J475" s="265" t="s">
        <v>205</v>
      </c>
      <c r="K475" s="265" t="s">
        <v>206</v>
      </c>
      <c r="L475" s="265" t="s">
        <v>14</v>
      </c>
      <c r="M475" s="265" t="s">
        <v>740</v>
      </c>
      <c r="N475" s="265" t="s">
        <v>728</v>
      </c>
      <c r="O475" s="265" t="s">
        <v>741</v>
      </c>
    </row>
    <row r="476" spans="1:15" s="264" customFormat="1" x14ac:dyDescent="0.25">
      <c r="A476" s="262">
        <v>4</v>
      </c>
      <c r="B476" s="262">
        <v>4</v>
      </c>
      <c r="C476" s="262" t="s">
        <v>880</v>
      </c>
      <c r="D476" s="262">
        <v>1</v>
      </c>
      <c r="E476" s="262" t="s">
        <v>754</v>
      </c>
      <c r="F476" s="262">
        <v>1</v>
      </c>
      <c r="G476" s="262">
        <v>1</v>
      </c>
      <c r="H476" s="262">
        <v>1</v>
      </c>
      <c r="I476" s="263">
        <v>20663.374511718699</v>
      </c>
      <c r="J476" s="262" t="s">
        <v>507</v>
      </c>
      <c r="K476" s="262" t="s">
        <v>508</v>
      </c>
      <c r="L476" s="262" t="s">
        <v>80</v>
      </c>
      <c r="M476" s="262" t="s">
        <v>733</v>
      </c>
      <c r="N476" s="262" t="s">
        <v>727</v>
      </c>
      <c r="O476" s="262" t="s">
        <v>11</v>
      </c>
    </row>
    <row r="477" spans="1:15" s="129" customFormat="1" x14ac:dyDescent="0.25">
      <c r="A477" s="130">
        <v>4</v>
      </c>
      <c r="B477" s="130">
        <v>4</v>
      </c>
      <c r="C477" s="130" t="s">
        <v>880</v>
      </c>
      <c r="D477" s="130">
        <v>1</v>
      </c>
      <c r="E477" s="130" t="s">
        <v>754</v>
      </c>
      <c r="F477" s="130">
        <v>1</v>
      </c>
      <c r="G477" s="130">
        <v>1</v>
      </c>
      <c r="H477" s="130">
        <v>1</v>
      </c>
      <c r="I477" s="131">
        <v>254985.16943359299</v>
      </c>
      <c r="J477" s="130" t="s">
        <v>197</v>
      </c>
      <c r="K477" s="130" t="s">
        <v>198</v>
      </c>
      <c r="L477" s="130" t="s">
        <v>30</v>
      </c>
      <c r="M477" s="130" t="s">
        <v>732</v>
      </c>
      <c r="N477" s="130" t="s">
        <v>15</v>
      </c>
      <c r="O477" s="130" t="s">
        <v>11</v>
      </c>
    </row>
    <row r="478" spans="1:15" s="218" customFormat="1" x14ac:dyDescent="0.25">
      <c r="A478" s="265">
        <v>4</v>
      </c>
      <c r="B478" s="265">
        <v>4</v>
      </c>
      <c r="C478" s="265" t="s">
        <v>880</v>
      </c>
      <c r="D478" s="265">
        <v>1</v>
      </c>
      <c r="E478" s="265" t="s">
        <v>754</v>
      </c>
      <c r="F478" s="265">
        <v>1</v>
      </c>
      <c r="G478" s="265">
        <v>1</v>
      </c>
      <c r="H478" s="265">
        <v>1</v>
      </c>
      <c r="I478" s="266">
        <v>464434.55957031198</v>
      </c>
      <c r="J478" s="265" t="s">
        <v>359</v>
      </c>
      <c r="K478" s="265" t="s">
        <v>360</v>
      </c>
      <c r="L478" s="265" t="s">
        <v>30</v>
      </c>
      <c r="M478" s="265" t="s">
        <v>732</v>
      </c>
      <c r="N478" s="265" t="s">
        <v>728</v>
      </c>
      <c r="O478" s="265" t="s">
        <v>11</v>
      </c>
    </row>
    <row r="479" spans="1:15" s="218" customFormat="1" x14ac:dyDescent="0.25">
      <c r="A479" s="265">
        <v>4</v>
      </c>
      <c r="B479" s="265">
        <v>4</v>
      </c>
      <c r="C479" s="265" t="s">
        <v>880</v>
      </c>
      <c r="D479" s="265">
        <v>1</v>
      </c>
      <c r="E479" s="265" t="s">
        <v>754</v>
      </c>
      <c r="F479" s="265">
        <v>1</v>
      </c>
      <c r="G479" s="265">
        <v>1</v>
      </c>
      <c r="H479" s="265">
        <v>1</v>
      </c>
      <c r="I479" s="266">
        <v>981956.28564453102</v>
      </c>
      <c r="J479" s="265" t="s">
        <v>547</v>
      </c>
      <c r="K479" s="265" t="s">
        <v>548</v>
      </c>
      <c r="L479" s="265" t="s">
        <v>14</v>
      </c>
      <c r="M479" s="265" t="s">
        <v>740</v>
      </c>
      <c r="N479" s="265" t="s">
        <v>728</v>
      </c>
      <c r="O479" s="265" t="s">
        <v>11</v>
      </c>
    </row>
    <row r="480" spans="1:15" s="218" customFormat="1" x14ac:dyDescent="0.25">
      <c r="A480" s="265">
        <v>4</v>
      </c>
      <c r="B480" s="265">
        <v>4</v>
      </c>
      <c r="C480" s="265" t="s">
        <v>880</v>
      </c>
      <c r="D480" s="265">
        <v>1</v>
      </c>
      <c r="E480" s="265" t="s">
        <v>754</v>
      </c>
      <c r="F480" s="265">
        <v>1</v>
      </c>
      <c r="G480" s="265">
        <v>1</v>
      </c>
      <c r="H480" s="265">
        <v>1</v>
      </c>
      <c r="I480" s="266">
        <v>907843.41552734305</v>
      </c>
      <c r="J480" s="265" t="s">
        <v>363</v>
      </c>
      <c r="K480" s="265" t="s">
        <v>364</v>
      </c>
      <c r="L480" s="265" t="s">
        <v>18</v>
      </c>
      <c r="M480" s="265" t="s">
        <v>19</v>
      </c>
      <c r="N480" s="265" t="s">
        <v>728</v>
      </c>
      <c r="O480" s="265" t="s">
        <v>11</v>
      </c>
    </row>
    <row r="481" spans="1:15" s="264" customFormat="1" x14ac:dyDescent="0.25">
      <c r="A481" s="262">
        <v>4</v>
      </c>
      <c r="B481" s="262">
        <v>4</v>
      </c>
      <c r="C481" s="262" t="s">
        <v>880</v>
      </c>
      <c r="D481" s="262">
        <v>1</v>
      </c>
      <c r="E481" s="262" t="s">
        <v>754</v>
      </c>
      <c r="F481" s="262">
        <v>1</v>
      </c>
      <c r="G481" s="262">
        <v>1</v>
      </c>
      <c r="H481" s="262">
        <v>1</v>
      </c>
      <c r="I481" s="263">
        <v>844611.02587890602</v>
      </c>
      <c r="J481" s="262" t="s">
        <v>307</v>
      </c>
      <c r="K481" s="262" t="s">
        <v>308</v>
      </c>
      <c r="L481" s="262" t="s">
        <v>80</v>
      </c>
      <c r="M481" s="262" t="s">
        <v>733</v>
      </c>
      <c r="N481" s="262" t="s">
        <v>727</v>
      </c>
      <c r="O481" s="262" t="s">
        <v>11</v>
      </c>
    </row>
    <row r="482" spans="1:15" s="264" customFormat="1" x14ac:dyDescent="0.25">
      <c r="A482" s="262">
        <v>4</v>
      </c>
      <c r="B482" s="262">
        <v>4</v>
      </c>
      <c r="C482" s="262" t="s">
        <v>880</v>
      </c>
      <c r="D482" s="262">
        <v>1</v>
      </c>
      <c r="E482" s="262" t="s">
        <v>754</v>
      </c>
      <c r="F482" s="262">
        <v>1</v>
      </c>
      <c r="G482" s="262">
        <v>1</v>
      </c>
      <c r="H482" s="262">
        <v>1</v>
      </c>
      <c r="I482" s="263">
        <v>377971.49072265602</v>
      </c>
      <c r="J482" s="262" t="s">
        <v>450</v>
      </c>
      <c r="K482" s="262" t="s">
        <v>451</v>
      </c>
      <c r="L482" s="262" t="s">
        <v>14</v>
      </c>
      <c r="M482" s="262" t="s">
        <v>740</v>
      </c>
      <c r="N482" s="262" t="s">
        <v>727</v>
      </c>
      <c r="O482" s="262" t="s">
        <v>11</v>
      </c>
    </row>
    <row r="483" spans="1:15" s="269" customFormat="1" x14ac:dyDescent="0.25">
      <c r="A483" s="267">
        <v>4</v>
      </c>
      <c r="B483" s="267">
        <v>4</v>
      </c>
      <c r="C483" s="267" t="s">
        <v>880</v>
      </c>
      <c r="D483" s="267">
        <v>1</v>
      </c>
      <c r="E483" s="267" t="s">
        <v>754</v>
      </c>
      <c r="F483" s="267">
        <v>1</v>
      </c>
      <c r="G483" s="267">
        <v>1</v>
      </c>
      <c r="H483" s="267">
        <v>1</v>
      </c>
      <c r="I483" s="268">
        <v>249045.470703125</v>
      </c>
      <c r="J483" s="267" t="s">
        <v>579</v>
      </c>
      <c r="K483" s="267" t="s">
        <v>580</v>
      </c>
      <c r="L483" s="267" t="s">
        <v>14</v>
      </c>
      <c r="M483" s="267" t="s">
        <v>740</v>
      </c>
      <c r="N483" s="267" t="s">
        <v>729</v>
      </c>
      <c r="O483" s="267" t="s">
        <v>741</v>
      </c>
    </row>
    <row r="484" spans="1:15" s="218" customFormat="1" x14ac:dyDescent="0.25">
      <c r="A484" s="265">
        <v>4</v>
      </c>
      <c r="B484" s="265">
        <v>4</v>
      </c>
      <c r="C484" s="265" t="s">
        <v>880</v>
      </c>
      <c r="D484" s="265">
        <v>1</v>
      </c>
      <c r="E484" s="265" t="s">
        <v>754</v>
      </c>
      <c r="F484" s="265">
        <v>1</v>
      </c>
      <c r="G484" s="265">
        <v>1</v>
      </c>
      <c r="H484" s="265">
        <v>1</v>
      </c>
      <c r="I484" s="266">
        <v>1257509.3784179599</v>
      </c>
      <c r="J484" s="265" t="s">
        <v>387</v>
      </c>
      <c r="K484" s="265" t="s">
        <v>388</v>
      </c>
      <c r="L484" s="265" t="s">
        <v>30</v>
      </c>
      <c r="M484" s="265" t="s">
        <v>732</v>
      </c>
      <c r="N484" s="265" t="s">
        <v>728</v>
      </c>
      <c r="O484" s="265" t="s">
        <v>11</v>
      </c>
    </row>
    <row r="485" spans="1:15" s="129" customFormat="1" x14ac:dyDescent="0.25">
      <c r="A485" s="130">
        <v>4</v>
      </c>
      <c r="B485" s="130">
        <v>4</v>
      </c>
      <c r="C485" s="130" t="s">
        <v>880</v>
      </c>
      <c r="D485" s="130">
        <v>1</v>
      </c>
      <c r="E485" s="130" t="s">
        <v>754</v>
      </c>
      <c r="F485" s="130">
        <v>1</v>
      </c>
      <c r="G485" s="130">
        <v>1</v>
      </c>
      <c r="H485" s="130">
        <v>1</v>
      </c>
      <c r="I485" s="131">
        <v>121304.381347656</v>
      </c>
      <c r="J485" s="130" t="s">
        <v>149</v>
      </c>
      <c r="K485" s="130" t="s">
        <v>150</v>
      </c>
      <c r="L485" s="130" t="s">
        <v>14</v>
      </c>
      <c r="M485" s="130" t="s">
        <v>740</v>
      </c>
      <c r="N485" s="130" t="s">
        <v>15</v>
      </c>
      <c r="O485" s="130" t="s">
        <v>879</v>
      </c>
    </row>
    <row r="486" spans="1:15" s="218" customFormat="1" x14ac:dyDescent="0.25">
      <c r="A486" s="265">
        <v>4</v>
      </c>
      <c r="B486" s="265">
        <v>4</v>
      </c>
      <c r="C486" s="265" t="s">
        <v>880</v>
      </c>
      <c r="D486" s="265">
        <v>1</v>
      </c>
      <c r="E486" s="265" t="s">
        <v>754</v>
      </c>
      <c r="F486" s="265">
        <v>1</v>
      </c>
      <c r="G486" s="265">
        <v>1</v>
      </c>
      <c r="H486" s="265">
        <v>1</v>
      </c>
      <c r="I486" s="266">
        <v>2328837.54052734</v>
      </c>
      <c r="J486" s="265" t="s">
        <v>128</v>
      </c>
      <c r="K486" s="265" t="s">
        <v>129</v>
      </c>
      <c r="L486" s="265" t="s">
        <v>80</v>
      </c>
      <c r="M486" s="265" t="s">
        <v>733</v>
      </c>
      <c r="N486" s="265" t="s">
        <v>728</v>
      </c>
      <c r="O486" s="265" t="s">
        <v>11</v>
      </c>
    </row>
    <row r="487" spans="1:15" s="218" customFormat="1" x14ac:dyDescent="0.25">
      <c r="A487" s="265">
        <v>4</v>
      </c>
      <c r="B487" s="265">
        <v>4</v>
      </c>
      <c r="C487" s="265" t="s">
        <v>880</v>
      </c>
      <c r="D487" s="265">
        <v>1</v>
      </c>
      <c r="E487" s="265" t="s">
        <v>754</v>
      </c>
      <c r="F487" s="265">
        <v>1</v>
      </c>
      <c r="G487" s="265">
        <v>1</v>
      </c>
      <c r="H487" s="265">
        <v>1</v>
      </c>
      <c r="I487" s="266">
        <v>139258.50488281201</v>
      </c>
      <c r="J487" s="265" t="s">
        <v>486</v>
      </c>
      <c r="K487" s="265" t="s">
        <v>487</v>
      </c>
      <c r="L487" s="265" t="s">
        <v>80</v>
      </c>
      <c r="M487" s="265" t="s">
        <v>733</v>
      </c>
      <c r="N487" s="265" t="s">
        <v>728</v>
      </c>
      <c r="O487" s="265" t="s">
        <v>11</v>
      </c>
    </row>
    <row r="488" spans="1:15" s="264" customFormat="1" x14ac:dyDescent="0.25">
      <c r="A488" s="262">
        <v>4</v>
      </c>
      <c r="B488" s="262">
        <v>4</v>
      </c>
      <c r="C488" s="262" t="s">
        <v>880</v>
      </c>
      <c r="D488" s="262">
        <v>1</v>
      </c>
      <c r="E488" s="262" t="s">
        <v>754</v>
      </c>
      <c r="F488" s="262">
        <v>1</v>
      </c>
      <c r="G488" s="262">
        <v>1</v>
      </c>
      <c r="H488" s="262">
        <v>1</v>
      </c>
      <c r="I488" s="263">
        <v>260662.373046875</v>
      </c>
      <c r="J488" s="262" t="s">
        <v>442</v>
      </c>
      <c r="K488" s="262" t="s">
        <v>443</v>
      </c>
      <c r="L488" s="262" t="s">
        <v>14</v>
      </c>
      <c r="M488" s="262" t="s">
        <v>740</v>
      </c>
      <c r="N488" s="262" t="s">
        <v>727</v>
      </c>
      <c r="O488" s="262" t="s">
        <v>11</v>
      </c>
    </row>
    <row r="489" spans="1:15" s="264" customFormat="1" x14ac:dyDescent="0.25">
      <c r="A489" s="262">
        <v>4</v>
      </c>
      <c r="B489" s="262">
        <v>4</v>
      </c>
      <c r="C489" s="262" t="s">
        <v>880</v>
      </c>
      <c r="D489" s="262">
        <v>1</v>
      </c>
      <c r="E489" s="262" t="s">
        <v>754</v>
      </c>
      <c r="F489" s="262">
        <v>1</v>
      </c>
      <c r="G489" s="262">
        <v>1</v>
      </c>
      <c r="H489" s="262">
        <v>1</v>
      </c>
      <c r="I489" s="263">
        <v>93281.661621093706</v>
      </c>
      <c r="J489" s="262" t="s">
        <v>426</v>
      </c>
      <c r="K489" s="262" t="s">
        <v>427</v>
      </c>
      <c r="L489" s="262" t="s">
        <v>18</v>
      </c>
      <c r="M489" s="262" t="s">
        <v>19</v>
      </c>
      <c r="N489" s="262" t="s">
        <v>727</v>
      </c>
      <c r="O489" s="262" t="s">
        <v>11</v>
      </c>
    </row>
    <row r="490" spans="1:15" s="218" customFormat="1" x14ac:dyDescent="0.25">
      <c r="A490" s="265">
        <v>4</v>
      </c>
      <c r="B490" s="265">
        <v>4</v>
      </c>
      <c r="C490" s="265" t="s">
        <v>880</v>
      </c>
      <c r="D490" s="265">
        <v>1</v>
      </c>
      <c r="E490" s="265" t="s">
        <v>754</v>
      </c>
      <c r="F490" s="265">
        <v>1</v>
      </c>
      <c r="G490" s="265">
        <v>1</v>
      </c>
      <c r="H490" s="265">
        <v>1</v>
      </c>
      <c r="I490" s="266">
        <v>1175605.61474609</v>
      </c>
      <c r="J490" s="265" t="s">
        <v>351</v>
      </c>
      <c r="K490" s="265" t="s">
        <v>352</v>
      </c>
      <c r="L490" s="265" t="s">
        <v>14</v>
      </c>
      <c r="M490" s="265" t="s">
        <v>740</v>
      </c>
      <c r="N490" s="265" t="s">
        <v>728</v>
      </c>
      <c r="O490" s="265" t="s">
        <v>741</v>
      </c>
    </row>
    <row r="491" spans="1:15" s="129" customFormat="1" x14ac:dyDescent="0.25">
      <c r="A491" s="130">
        <v>4</v>
      </c>
      <c r="B491" s="130">
        <v>4</v>
      </c>
      <c r="C491" s="130" t="s">
        <v>880</v>
      </c>
      <c r="D491" s="130">
        <v>1</v>
      </c>
      <c r="E491" s="130" t="s">
        <v>754</v>
      </c>
      <c r="F491" s="130">
        <v>1</v>
      </c>
      <c r="G491" s="130">
        <v>1</v>
      </c>
      <c r="H491" s="130">
        <v>1</v>
      </c>
      <c r="I491" s="131">
        <v>1490929.22558593</v>
      </c>
      <c r="J491" s="130" t="s">
        <v>575</v>
      </c>
      <c r="K491" s="130" t="s">
        <v>576</v>
      </c>
      <c r="L491" s="130" t="s">
        <v>30</v>
      </c>
      <c r="M491" s="130" t="s">
        <v>732</v>
      </c>
      <c r="N491" s="130" t="s">
        <v>15</v>
      </c>
      <c r="O491" s="130" t="s">
        <v>11</v>
      </c>
    </row>
    <row r="492" spans="1:15" s="129" customFormat="1" x14ac:dyDescent="0.25">
      <c r="A492" s="130">
        <v>4</v>
      </c>
      <c r="B492" s="130">
        <v>4</v>
      </c>
      <c r="C492" s="130" t="s">
        <v>880</v>
      </c>
      <c r="D492" s="130">
        <v>1</v>
      </c>
      <c r="E492" s="130" t="s">
        <v>754</v>
      </c>
      <c r="F492" s="130">
        <v>1</v>
      </c>
      <c r="G492" s="130">
        <v>1</v>
      </c>
      <c r="H492" s="130">
        <v>1</v>
      </c>
      <c r="I492" s="131">
        <v>305466.69384765602</v>
      </c>
      <c r="J492" s="130" t="s">
        <v>385</v>
      </c>
      <c r="K492" s="130" t="s">
        <v>386</v>
      </c>
      <c r="L492" s="130" t="s">
        <v>30</v>
      </c>
      <c r="M492" s="130" t="s">
        <v>732</v>
      </c>
      <c r="N492" s="130" t="s">
        <v>15</v>
      </c>
      <c r="O492" s="130" t="s">
        <v>11</v>
      </c>
    </row>
    <row r="493" spans="1:15" s="269" customFormat="1" x14ac:dyDescent="0.25">
      <c r="A493" s="267">
        <v>4</v>
      </c>
      <c r="B493" s="267">
        <v>4</v>
      </c>
      <c r="C493" s="267" t="s">
        <v>880</v>
      </c>
      <c r="D493" s="267">
        <v>1</v>
      </c>
      <c r="E493" s="267" t="s">
        <v>754</v>
      </c>
      <c r="F493" s="267">
        <v>1</v>
      </c>
      <c r="G493" s="267">
        <v>1</v>
      </c>
      <c r="H493" s="267">
        <v>1</v>
      </c>
      <c r="I493" s="268">
        <v>2058417.0722656201</v>
      </c>
      <c r="J493" s="267" t="s">
        <v>428</v>
      </c>
      <c r="K493" s="267" t="s">
        <v>429</v>
      </c>
      <c r="L493" s="267" t="s">
        <v>14</v>
      </c>
      <c r="M493" s="267" t="s">
        <v>740</v>
      </c>
      <c r="N493" s="267" t="s">
        <v>729</v>
      </c>
      <c r="O493" s="267" t="s">
        <v>741</v>
      </c>
    </row>
    <row r="494" spans="1:15" s="269" customFormat="1" x14ac:dyDescent="0.25">
      <c r="A494" s="267">
        <v>4</v>
      </c>
      <c r="B494" s="267">
        <v>4</v>
      </c>
      <c r="C494" s="267" t="s">
        <v>880</v>
      </c>
      <c r="D494" s="267">
        <v>1</v>
      </c>
      <c r="E494" s="267" t="s">
        <v>754</v>
      </c>
      <c r="F494" s="267">
        <v>1</v>
      </c>
      <c r="G494" s="267">
        <v>1</v>
      </c>
      <c r="H494" s="267">
        <v>1</v>
      </c>
      <c r="I494" s="268">
        <v>447120.72314453102</v>
      </c>
      <c r="J494" s="267" t="s">
        <v>401</v>
      </c>
      <c r="K494" s="267" t="s">
        <v>402</v>
      </c>
      <c r="L494" s="267" t="s">
        <v>14</v>
      </c>
      <c r="M494" s="267" t="s">
        <v>740</v>
      </c>
      <c r="N494" s="267" t="s">
        <v>729</v>
      </c>
      <c r="O494" s="267" t="s">
        <v>741</v>
      </c>
    </row>
    <row r="495" spans="1:15" s="129" customFormat="1" x14ac:dyDescent="0.25">
      <c r="A495" s="130">
        <v>4</v>
      </c>
      <c r="B495" s="130">
        <v>4</v>
      </c>
      <c r="C495" s="130" t="s">
        <v>880</v>
      </c>
      <c r="D495" s="130">
        <v>1</v>
      </c>
      <c r="E495" s="130" t="s">
        <v>754</v>
      </c>
      <c r="F495" s="130">
        <v>1</v>
      </c>
      <c r="G495" s="130">
        <v>1</v>
      </c>
      <c r="H495" s="130">
        <v>1</v>
      </c>
      <c r="I495" s="131">
        <v>207866.505859375</v>
      </c>
      <c r="J495" s="130" t="s">
        <v>472</v>
      </c>
      <c r="K495" s="130" t="s">
        <v>473</v>
      </c>
      <c r="L495" s="130" t="s">
        <v>14</v>
      </c>
      <c r="M495" s="130" t="s">
        <v>740</v>
      </c>
      <c r="N495" s="130" t="s">
        <v>15</v>
      </c>
      <c r="O495" s="130" t="s">
        <v>11</v>
      </c>
    </row>
    <row r="496" spans="1:15" s="218" customFormat="1" x14ac:dyDescent="0.25">
      <c r="A496" s="265">
        <v>4</v>
      </c>
      <c r="B496" s="265">
        <v>4</v>
      </c>
      <c r="C496" s="265" t="s">
        <v>880</v>
      </c>
      <c r="D496" s="265">
        <v>1</v>
      </c>
      <c r="E496" s="265" t="s">
        <v>754</v>
      </c>
      <c r="F496" s="265">
        <v>1</v>
      </c>
      <c r="G496" s="265">
        <v>1</v>
      </c>
      <c r="H496" s="265">
        <v>1</v>
      </c>
      <c r="I496" s="266">
        <v>1046807.69873046</v>
      </c>
      <c r="J496" s="265" t="s">
        <v>575</v>
      </c>
      <c r="K496" s="265" t="s">
        <v>576</v>
      </c>
      <c r="L496" s="265" t="s">
        <v>30</v>
      </c>
      <c r="M496" s="265" t="s">
        <v>732</v>
      </c>
      <c r="N496" s="265" t="s">
        <v>728</v>
      </c>
      <c r="O496" s="265" t="s">
        <v>11</v>
      </c>
    </row>
    <row r="497" spans="1:15" s="264" customFormat="1" x14ac:dyDescent="0.25">
      <c r="A497" s="262">
        <v>4</v>
      </c>
      <c r="B497" s="262">
        <v>4</v>
      </c>
      <c r="C497" s="262" t="s">
        <v>880</v>
      </c>
      <c r="D497" s="262">
        <v>1</v>
      </c>
      <c r="E497" s="262" t="s">
        <v>754</v>
      </c>
      <c r="F497" s="262">
        <v>1</v>
      </c>
      <c r="G497" s="262">
        <v>1</v>
      </c>
      <c r="H497" s="262">
        <v>1</v>
      </c>
      <c r="I497" s="263">
        <v>884069.64306640602</v>
      </c>
      <c r="J497" s="262" t="s">
        <v>259</v>
      </c>
      <c r="K497" s="262" t="s">
        <v>260</v>
      </c>
      <c r="L497" s="262" t="s">
        <v>30</v>
      </c>
      <c r="M497" s="262" t="s">
        <v>732</v>
      </c>
      <c r="N497" s="262" t="s">
        <v>727</v>
      </c>
      <c r="O497" s="262" t="s">
        <v>11</v>
      </c>
    </row>
    <row r="498" spans="1:15" s="218" customFormat="1" x14ac:dyDescent="0.25">
      <c r="A498" s="265">
        <v>4</v>
      </c>
      <c r="B498" s="265">
        <v>4</v>
      </c>
      <c r="C498" s="265" t="s">
        <v>880</v>
      </c>
      <c r="D498" s="265">
        <v>1</v>
      </c>
      <c r="E498" s="265" t="s">
        <v>754</v>
      </c>
      <c r="F498" s="265">
        <v>1</v>
      </c>
      <c r="G498" s="265">
        <v>1</v>
      </c>
      <c r="H498" s="265">
        <v>1</v>
      </c>
      <c r="I498" s="266">
        <v>408617.68066406198</v>
      </c>
      <c r="J498" s="265" t="s">
        <v>579</v>
      </c>
      <c r="K498" s="265" t="s">
        <v>580</v>
      </c>
      <c r="L498" s="265" t="s">
        <v>14</v>
      </c>
      <c r="M498" s="265" t="s">
        <v>740</v>
      </c>
      <c r="N498" s="265" t="s">
        <v>728</v>
      </c>
      <c r="O498" s="265" t="s">
        <v>741</v>
      </c>
    </row>
    <row r="499" spans="1:15" s="264" customFormat="1" x14ac:dyDescent="0.25">
      <c r="A499" s="262">
        <v>4</v>
      </c>
      <c r="B499" s="262">
        <v>4</v>
      </c>
      <c r="C499" s="262" t="s">
        <v>880</v>
      </c>
      <c r="D499" s="262">
        <v>1</v>
      </c>
      <c r="E499" s="262" t="s">
        <v>754</v>
      </c>
      <c r="F499" s="262">
        <v>1</v>
      </c>
      <c r="G499" s="262">
        <v>1</v>
      </c>
      <c r="H499" s="262">
        <v>1</v>
      </c>
      <c r="I499" s="263">
        <v>630163.23486328102</v>
      </c>
      <c r="J499" s="262" t="s">
        <v>331</v>
      </c>
      <c r="K499" s="262" t="s">
        <v>332</v>
      </c>
      <c r="L499" s="262" t="s">
        <v>18</v>
      </c>
      <c r="M499" s="262" t="s">
        <v>19</v>
      </c>
      <c r="N499" s="262" t="s">
        <v>727</v>
      </c>
      <c r="O499" s="262" t="s">
        <v>11</v>
      </c>
    </row>
    <row r="500" spans="1:15" s="218" customFormat="1" x14ac:dyDescent="0.25">
      <c r="A500" s="265">
        <v>4</v>
      </c>
      <c r="B500" s="265">
        <v>4</v>
      </c>
      <c r="C500" s="265" t="s">
        <v>880</v>
      </c>
      <c r="D500" s="265">
        <v>1</v>
      </c>
      <c r="E500" s="265" t="s">
        <v>754</v>
      </c>
      <c r="F500" s="265">
        <v>1</v>
      </c>
      <c r="G500" s="265">
        <v>1</v>
      </c>
      <c r="H500" s="265">
        <v>1</v>
      </c>
      <c r="I500" s="266">
        <v>2008879.7309570301</v>
      </c>
      <c r="J500" s="265" t="s">
        <v>279</v>
      </c>
      <c r="K500" s="265" t="s">
        <v>280</v>
      </c>
      <c r="L500" s="265" t="s">
        <v>18</v>
      </c>
      <c r="M500" s="265" t="s">
        <v>19</v>
      </c>
      <c r="N500" s="265" t="s">
        <v>728</v>
      </c>
      <c r="O500" s="265" t="s">
        <v>11</v>
      </c>
    </row>
    <row r="501" spans="1:15" s="129" customFormat="1" x14ac:dyDescent="0.25">
      <c r="A501" s="130">
        <v>4</v>
      </c>
      <c r="B501" s="130">
        <v>4</v>
      </c>
      <c r="C501" s="130" t="s">
        <v>880</v>
      </c>
      <c r="D501" s="130">
        <v>1</v>
      </c>
      <c r="E501" s="130" t="s">
        <v>754</v>
      </c>
      <c r="F501" s="130">
        <v>1</v>
      </c>
      <c r="G501" s="130">
        <v>1</v>
      </c>
      <c r="H501" s="130">
        <v>1</v>
      </c>
      <c r="I501" s="131">
        <v>543364.37207031203</v>
      </c>
      <c r="J501" s="130" t="s">
        <v>181</v>
      </c>
      <c r="K501" s="130" t="s">
        <v>182</v>
      </c>
      <c r="L501" s="130" t="s">
        <v>14</v>
      </c>
      <c r="M501" s="130" t="s">
        <v>740</v>
      </c>
      <c r="N501" s="130" t="s">
        <v>15</v>
      </c>
      <c r="O501" s="130" t="s">
        <v>11</v>
      </c>
    </row>
    <row r="502" spans="1:15" s="129" customFormat="1" x14ac:dyDescent="0.25">
      <c r="A502" s="130">
        <v>4</v>
      </c>
      <c r="B502" s="130">
        <v>4</v>
      </c>
      <c r="C502" s="130" t="s">
        <v>880</v>
      </c>
      <c r="D502" s="130">
        <v>1</v>
      </c>
      <c r="E502" s="130" t="s">
        <v>754</v>
      </c>
      <c r="F502" s="130">
        <v>1</v>
      </c>
      <c r="G502" s="130">
        <v>1</v>
      </c>
      <c r="H502" s="130">
        <v>1</v>
      </c>
      <c r="I502" s="131">
        <v>1443.96630859375</v>
      </c>
      <c r="J502" s="130" t="s">
        <v>195</v>
      </c>
      <c r="K502" s="130" t="s">
        <v>196</v>
      </c>
      <c r="L502" s="130" t="s">
        <v>80</v>
      </c>
      <c r="M502" s="130" t="s">
        <v>733</v>
      </c>
      <c r="N502" s="130" t="s">
        <v>15</v>
      </c>
      <c r="O502" s="130" t="s">
        <v>11</v>
      </c>
    </row>
    <row r="503" spans="1:15" s="28" customFormat="1" x14ac:dyDescent="0.25">
      <c r="A503" s="86">
        <v>4</v>
      </c>
      <c r="B503" s="86">
        <v>4</v>
      </c>
      <c r="C503" s="86" t="s">
        <v>880</v>
      </c>
      <c r="D503" s="86">
        <v>1</v>
      </c>
      <c r="E503" s="86" t="s">
        <v>754</v>
      </c>
      <c r="F503" s="86">
        <v>1</v>
      </c>
      <c r="G503" s="86">
        <v>1</v>
      </c>
      <c r="H503" s="86">
        <v>1</v>
      </c>
      <c r="I503" s="87">
        <v>1119055.6518554599</v>
      </c>
      <c r="J503" s="86" t="s">
        <v>595</v>
      </c>
      <c r="K503" s="86" t="s">
        <v>596</v>
      </c>
      <c r="L503" s="86" t="s">
        <v>30</v>
      </c>
      <c r="M503" s="86" t="s">
        <v>732</v>
      </c>
      <c r="N503" s="86" t="s">
        <v>726</v>
      </c>
      <c r="O503" s="86" t="s">
        <v>35</v>
      </c>
    </row>
    <row r="504" spans="1:15" s="264" customFormat="1" x14ac:dyDescent="0.25">
      <c r="A504" s="262">
        <v>4</v>
      </c>
      <c r="B504" s="262">
        <v>4</v>
      </c>
      <c r="C504" s="262" t="s">
        <v>880</v>
      </c>
      <c r="D504" s="262">
        <v>1</v>
      </c>
      <c r="E504" s="262" t="s">
        <v>754</v>
      </c>
      <c r="F504" s="262">
        <v>1</v>
      </c>
      <c r="G504" s="262">
        <v>1</v>
      </c>
      <c r="H504" s="262">
        <v>1</v>
      </c>
      <c r="I504" s="263">
        <v>67003.3388671875</v>
      </c>
      <c r="J504" s="262" t="s">
        <v>303</v>
      </c>
      <c r="K504" s="262" t="s">
        <v>304</v>
      </c>
      <c r="L504" s="262" t="s">
        <v>30</v>
      </c>
      <c r="M504" s="262" t="s">
        <v>732</v>
      </c>
      <c r="N504" s="262" t="s">
        <v>727</v>
      </c>
      <c r="O504" s="262" t="s">
        <v>11</v>
      </c>
    </row>
    <row r="505" spans="1:15" s="129" customFormat="1" x14ac:dyDescent="0.25">
      <c r="A505" s="130">
        <v>4</v>
      </c>
      <c r="B505" s="130">
        <v>4</v>
      </c>
      <c r="C505" s="130" t="s">
        <v>880</v>
      </c>
      <c r="D505" s="130">
        <v>1</v>
      </c>
      <c r="E505" s="130" t="s">
        <v>754</v>
      </c>
      <c r="F505" s="130">
        <v>1</v>
      </c>
      <c r="G505" s="130">
        <v>1</v>
      </c>
      <c r="H505" s="130">
        <v>1</v>
      </c>
      <c r="I505" s="131">
        <v>176870.93896484299</v>
      </c>
      <c r="J505" s="130" t="s">
        <v>163</v>
      </c>
      <c r="K505" s="130" t="s">
        <v>164</v>
      </c>
      <c r="L505" s="130" t="s">
        <v>14</v>
      </c>
      <c r="M505" s="130" t="s">
        <v>740</v>
      </c>
      <c r="N505" s="130" t="s">
        <v>15</v>
      </c>
      <c r="O505" s="130" t="s">
        <v>11</v>
      </c>
    </row>
    <row r="506" spans="1:15" s="264" customFormat="1" x14ac:dyDescent="0.25">
      <c r="A506" s="262">
        <v>4</v>
      </c>
      <c r="B506" s="262">
        <v>4</v>
      </c>
      <c r="C506" s="262" t="s">
        <v>880</v>
      </c>
      <c r="D506" s="262">
        <v>1</v>
      </c>
      <c r="E506" s="262" t="s">
        <v>754</v>
      </c>
      <c r="F506" s="262">
        <v>1</v>
      </c>
      <c r="G506" s="262">
        <v>1</v>
      </c>
      <c r="H506" s="262">
        <v>1</v>
      </c>
      <c r="I506" s="263">
        <v>6.201171875E-2</v>
      </c>
      <c r="J506" s="262" t="s">
        <v>211</v>
      </c>
      <c r="K506" s="262" t="s">
        <v>212</v>
      </c>
      <c r="L506" s="262" t="s">
        <v>30</v>
      </c>
      <c r="M506" s="262" t="s">
        <v>732</v>
      </c>
      <c r="N506" s="262" t="s">
        <v>727</v>
      </c>
      <c r="O506" s="262" t="s">
        <v>11</v>
      </c>
    </row>
    <row r="507" spans="1:15" s="218" customFormat="1" x14ac:dyDescent="0.25">
      <c r="A507" s="265">
        <v>4</v>
      </c>
      <c r="B507" s="265">
        <v>4</v>
      </c>
      <c r="C507" s="265" t="s">
        <v>880</v>
      </c>
      <c r="D507" s="265">
        <v>1</v>
      </c>
      <c r="E507" s="265" t="s">
        <v>754</v>
      </c>
      <c r="F507" s="265">
        <v>1</v>
      </c>
      <c r="G507" s="265">
        <v>1</v>
      </c>
      <c r="H507" s="265">
        <v>1</v>
      </c>
      <c r="I507" s="266">
        <v>107681.744628906</v>
      </c>
      <c r="J507" s="265" t="s">
        <v>241</v>
      </c>
      <c r="K507" s="265" t="s">
        <v>242</v>
      </c>
      <c r="L507" s="265" t="s">
        <v>30</v>
      </c>
      <c r="M507" s="265" t="s">
        <v>732</v>
      </c>
      <c r="N507" s="265" t="s">
        <v>728</v>
      </c>
      <c r="O507" s="265" t="s">
        <v>11</v>
      </c>
    </row>
    <row r="508" spans="1:15" s="264" customFormat="1" x14ac:dyDescent="0.25">
      <c r="A508" s="262">
        <v>4</v>
      </c>
      <c r="B508" s="262">
        <v>4</v>
      </c>
      <c r="C508" s="262" t="s">
        <v>880</v>
      </c>
      <c r="D508" s="262">
        <v>1</v>
      </c>
      <c r="E508" s="262" t="s">
        <v>754</v>
      </c>
      <c r="F508" s="262">
        <v>1</v>
      </c>
      <c r="G508" s="262">
        <v>1</v>
      </c>
      <c r="H508" s="262">
        <v>1</v>
      </c>
      <c r="I508" s="263">
        <v>92164.599121093706</v>
      </c>
      <c r="J508" s="262" t="s">
        <v>49</v>
      </c>
      <c r="K508" s="262" t="s">
        <v>50</v>
      </c>
      <c r="L508" s="262" t="s">
        <v>30</v>
      </c>
      <c r="M508" s="262" t="s">
        <v>732</v>
      </c>
      <c r="N508" s="262" t="s">
        <v>727</v>
      </c>
      <c r="O508" s="262" t="s">
        <v>11</v>
      </c>
    </row>
    <row r="509" spans="1:15" s="264" customFormat="1" x14ac:dyDescent="0.25">
      <c r="A509" s="262">
        <v>4</v>
      </c>
      <c r="B509" s="262">
        <v>4</v>
      </c>
      <c r="C509" s="262" t="s">
        <v>880</v>
      </c>
      <c r="D509" s="262">
        <v>1</v>
      </c>
      <c r="E509" s="262" t="s">
        <v>754</v>
      </c>
      <c r="F509" s="262">
        <v>1</v>
      </c>
      <c r="G509" s="262">
        <v>1</v>
      </c>
      <c r="H509" s="262">
        <v>1</v>
      </c>
      <c r="I509" s="263">
        <v>7174.41796875</v>
      </c>
      <c r="J509" s="262" t="s">
        <v>241</v>
      </c>
      <c r="K509" s="262" t="s">
        <v>242</v>
      </c>
      <c r="L509" s="262" t="s">
        <v>30</v>
      </c>
      <c r="M509" s="262" t="s">
        <v>732</v>
      </c>
      <c r="N509" s="262" t="s">
        <v>727</v>
      </c>
      <c r="O509" s="262" t="s">
        <v>11</v>
      </c>
    </row>
    <row r="510" spans="1:15" s="129" customFormat="1" x14ac:dyDescent="0.25">
      <c r="A510" s="130">
        <v>4</v>
      </c>
      <c r="B510" s="130">
        <v>4</v>
      </c>
      <c r="C510" s="130" t="s">
        <v>880</v>
      </c>
      <c r="D510" s="130">
        <v>1</v>
      </c>
      <c r="E510" s="130" t="s">
        <v>754</v>
      </c>
      <c r="F510" s="130">
        <v>1</v>
      </c>
      <c r="G510" s="130">
        <v>1</v>
      </c>
      <c r="H510" s="130">
        <v>1</v>
      </c>
      <c r="I510" s="131">
        <v>1838699.8017578099</v>
      </c>
      <c r="J510" s="130" t="s">
        <v>95</v>
      </c>
      <c r="K510" s="130" t="s">
        <v>96</v>
      </c>
      <c r="L510" s="130" t="s">
        <v>30</v>
      </c>
      <c r="M510" s="130" t="s">
        <v>732</v>
      </c>
      <c r="N510" s="130" t="s">
        <v>15</v>
      </c>
      <c r="O510" s="130" t="s">
        <v>11</v>
      </c>
    </row>
    <row r="511" spans="1:15" s="28" customFormat="1" x14ac:dyDescent="0.25">
      <c r="A511" s="86">
        <v>4</v>
      </c>
      <c r="B511" s="86">
        <v>4</v>
      </c>
      <c r="C511" s="86" t="s">
        <v>880</v>
      </c>
      <c r="D511" s="86">
        <v>1</v>
      </c>
      <c r="E511" s="86" t="s">
        <v>754</v>
      </c>
      <c r="F511" s="86">
        <v>1</v>
      </c>
      <c r="G511" s="86">
        <v>1</v>
      </c>
      <c r="H511" s="86">
        <v>1</v>
      </c>
      <c r="I511" s="87">
        <v>1839535.7558593701</v>
      </c>
      <c r="J511" s="86" t="s">
        <v>615</v>
      </c>
      <c r="K511" s="86" t="s">
        <v>616</v>
      </c>
      <c r="L511" s="86" t="s">
        <v>30</v>
      </c>
      <c r="M511" s="86" t="s">
        <v>732</v>
      </c>
      <c r="N511" s="86" t="s">
        <v>726</v>
      </c>
      <c r="O511" s="86" t="s">
        <v>35</v>
      </c>
    </row>
    <row r="512" spans="1:15" s="218" customFormat="1" x14ac:dyDescent="0.25">
      <c r="A512" s="265">
        <v>4</v>
      </c>
      <c r="B512" s="265">
        <v>4</v>
      </c>
      <c r="C512" s="265" t="s">
        <v>880</v>
      </c>
      <c r="D512" s="265">
        <v>1</v>
      </c>
      <c r="E512" s="265" t="s">
        <v>754</v>
      </c>
      <c r="F512" s="265">
        <v>1</v>
      </c>
      <c r="G512" s="265">
        <v>1</v>
      </c>
      <c r="H512" s="265">
        <v>1</v>
      </c>
      <c r="I512" s="266">
        <v>611979.47558593703</v>
      </c>
      <c r="J512" s="265" t="s">
        <v>285</v>
      </c>
      <c r="K512" s="265" t="s">
        <v>286</v>
      </c>
      <c r="L512" s="265" t="s">
        <v>14</v>
      </c>
      <c r="M512" s="265" t="s">
        <v>740</v>
      </c>
      <c r="N512" s="265" t="s">
        <v>728</v>
      </c>
      <c r="O512" s="265" t="s">
        <v>11</v>
      </c>
    </row>
    <row r="513" spans="1:15" s="129" customFormat="1" x14ac:dyDescent="0.25">
      <c r="A513" s="130">
        <v>4</v>
      </c>
      <c r="B513" s="130">
        <v>4</v>
      </c>
      <c r="C513" s="130" t="s">
        <v>880</v>
      </c>
      <c r="D513" s="130">
        <v>1</v>
      </c>
      <c r="E513" s="130" t="s">
        <v>754</v>
      </c>
      <c r="F513" s="130">
        <v>1</v>
      </c>
      <c r="G513" s="130">
        <v>1</v>
      </c>
      <c r="H513" s="130">
        <v>1</v>
      </c>
      <c r="I513" s="131">
        <v>855527.26513671805</v>
      </c>
      <c r="J513" s="130" t="s">
        <v>179</v>
      </c>
      <c r="K513" s="130" t="s">
        <v>180</v>
      </c>
      <c r="L513" s="130" t="s">
        <v>30</v>
      </c>
      <c r="M513" s="130" t="s">
        <v>732</v>
      </c>
      <c r="N513" s="130" t="s">
        <v>15</v>
      </c>
      <c r="O513" s="130" t="s">
        <v>11</v>
      </c>
    </row>
    <row r="514" spans="1:15" s="264" customFormat="1" x14ac:dyDescent="0.25">
      <c r="A514" s="262">
        <v>4</v>
      </c>
      <c r="B514" s="262">
        <v>4</v>
      </c>
      <c r="C514" s="262" t="s">
        <v>880</v>
      </c>
      <c r="D514" s="262">
        <v>1</v>
      </c>
      <c r="E514" s="262" t="s">
        <v>754</v>
      </c>
      <c r="F514" s="262">
        <v>1</v>
      </c>
      <c r="G514" s="262">
        <v>1</v>
      </c>
      <c r="H514" s="262">
        <v>1</v>
      </c>
      <c r="I514" s="263">
        <v>1579.703125</v>
      </c>
      <c r="J514" s="262" t="s">
        <v>261</v>
      </c>
      <c r="K514" s="262" t="s">
        <v>262</v>
      </c>
      <c r="L514" s="262" t="s">
        <v>27</v>
      </c>
      <c r="M514" s="262" t="s">
        <v>738</v>
      </c>
      <c r="N514" s="262" t="s">
        <v>727</v>
      </c>
      <c r="O514" s="262" t="s">
        <v>11</v>
      </c>
    </row>
    <row r="515" spans="1:15" s="28" customFormat="1" x14ac:dyDescent="0.25">
      <c r="A515" s="86">
        <v>4</v>
      </c>
      <c r="B515" s="86">
        <v>4</v>
      </c>
      <c r="C515" s="86" t="s">
        <v>880</v>
      </c>
      <c r="D515" s="86">
        <v>1</v>
      </c>
      <c r="E515" s="86" t="s">
        <v>754</v>
      </c>
      <c r="F515" s="86">
        <v>1</v>
      </c>
      <c r="G515" s="86">
        <v>1</v>
      </c>
      <c r="H515" s="86">
        <v>1</v>
      </c>
      <c r="I515" s="87">
        <v>1551082.5791015599</v>
      </c>
      <c r="J515" s="86" t="s">
        <v>619</v>
      </c>
      <c r="K515" s="86" t="s">
        <v>620</v>
      </c>
      <c r="L515" s="86" t="s">
        <v>27</v>
      </c>
      <c r="M515" s="86" t="s">
        <v>738</v>
      </c>
      <c r="N515" s="86" t="s">
        <v>726</v>
      </c>
      <c r="O515" s="86" t="s">
        <v>35</v>
      </c>
    </row>
    <row r="516" spans="1:15" s="28" customFormat="1" x14ac:dyDescent="0.25">
      <c r="A516" s="86">
        <v>4</v>
      </c>
      <c r="B516" s="86">
        <v>4</v>
      </c>
      <c r="C516" s="86" t="s">
        <v>880</v>
      </c>
      <c r="D516" s="86">
        <v>1</v>
      </c>
      <c r="E516" s="86" t="s">
        <v>754</v>
      </c>
      <c r="F516" s="86">
        <v>1</v>
      </c>
      <c r="G516" s="86">
        <v>1</v>
      </c>
      <c r="H516" s="86">
        <v>1</v>
      </c>
      <c r="I516" s="87">
        <v>1099585.3510742099</v>
      </c>
      <c r="J516" s="86" t="s">
        <v>623</v>
      </c>
      <c r="K516" s="86" t="s">
        <v>624</v>
      </c>
      <c r="L516" s="86" t="s">
        <v>30</v>
      </c>
      <c r="M516" s="86" t="s">
        <v>732</v>
      </c>
      <c r="N516" s="86" t="s">
        <v>726</v>
      </c>
      <c r="O516" s="86" t="s">
        <v>35</v>
      </c>
    </row>
    <row r="517" spans="1:15" s="218" customFormat="1" x14ac:dyDescent="0.25">
      <c r="A517" s="265">
        <v>4</v>
      </c>
      <c r="B517" s="265">
        <v>4</v>
      </c>
      <c r="C517" s="265" t="s">
        <v>880</v>
      </c>
      <c r="D517" s="265">
        <v>1</v>
      </c>
      <c r="E517" s="265" t="s">
        <v>754</v>
      </c>
      <c r="F517" s="265">
        <v>1</v>
      </c>
      <c r="G517" s="265">
        <v>1</v>
      </c>
      <c r="H517" s="265">
        <v>1</v>
      </c>
      <c r="I517" s="266">
        <v>1327.33447265625</v>
      </c>
      <c r="J517" s="265" t="s">
        <v>434</v>
      </c>
      <c r="K517" s="265" t="s">
        <v>435</v>
      </c>
      <c r="L517" s="265" t="s">
        <v>80</v>
      </c>
      <c r="M517" s="265" t="s">
        <v>733</v>
      </c>
      <c r="N517" s="265" t="s">
        <v>728</v>
      </c>
      <c r="O517" s="265" t="s">
        <v>11</v>
      </c>
    </row>
    <row r="518" spans="1:15" s="264" customFormat="1" x14ac:dyDescent="0.25">
      <c r="A518" s="262">
        <v>4</v>
      </c>
      <c r="B518" s="262">
        <v>4</v>
      </c>
      <c r="C518" s="262" t="s">
        <v>880</v>
      </c>
      <c r="D518" s="262">
        <v>1</v>
      </c>
      <c r="E518" s="262" t="s">
        <v>754</v>
      </c>
      <c r="F518" s="262">
        <v>1</v>
      </c>
      <c r="G518" s="262">
        <v>1</v>
      </c>
      <c r="H518" s="262">
        <v>1</v>
      </c>
      <c r="I518" s="263">
        <v>203486.19384765599</v>
      </c>
      <c r="J518" s="262" t="s">
        <v>379</v>
      </c>
      <c r="K518" s="262" t="s">
        <v>380</v>
      </c>
      <c r="L518" s="262" t="s">
        <v>30</v>
      </c>
      <c r="M518" s="262" t="s">
        <v>732</v>
      </c>
      <c r="N518" s="262" t="s">
        <v>727</v>
      </c>
      <c r="O518" s="262" t="s">
        <v>11</v>
      </c>
    </row>
    <row r="519" spans="1:15" s="28" customFormat="1" x14ac:dyDescent="0.25">
      <c r="A519" s="86">
        <v>4</v>
      </c>
      <c r="B519" s="86">
        <v>4</v>
      </c>
      <c r="C519" s="86" t="s">
        <v>880</v>
      </c>
      <c r="D519" s="86">
        <v>1</v>
      </c>
      <c r="E519" s="86" t="s">
        <v>754</v>
      </c>
      <c r="F519" s="86">
        <v>1</v>
      </c>
      <c r="G519" s="86">
        <v>1</v>
      </c>
      <c r="H519" s="86">
        <v>1</v>
      </c>
      <c r="I519" s="87">
        <v>706344.556640625</v>
      </c>
      <c r="J519" s="86" t="s">
        <v>631</v>
      </c>
      <c r="K519" s="86" t="s">
        <v>632</v>
      </c>
      <c r="L519" s="86" t="s">
        <v>30</v>
      </c>
      <c r="M519" s="86" t="s">
        <v>732</v>
      </c>
      <c r="N519" s="86" t="s">
        <v>726</v>
      </c>
      <c r="O519" s="86" t="s">
        <v>35</v>
      </c>
    </row>
    <row r="520" spans="1:15" s="129" customFormat="1" x14ac:dyDescent="0.25">
      <c r="A520" s="130">
        <v>4</v>
      </c>
      <c r="B520" s="130">
        <v>4</v>
      </c>
      <c r="C520" s="130" t="s">
        <v>880</v>
      </c>
      <c r="D520" s="130">
        <v>1</v>
      </c>
      <c r="E520" s="130" t="s">
        <v>754</v>
      </c>
      <c r="F520" s="130">
        <v>1</v>
      </c>
      <c r="G520" s="130">
        <v>1</v>
      </c>
      <c r="H520" s="130">
        <v>1</v>
      </c>
      <c r="I520" s="131">
        <v>3512412.0551757799</v>
      </c>
      <c r="J520" s="130" t="s">
        <v>452</v>
      </c>
      <c r="K520" s="130" t="s">
        <v>453</v>
      </c>
      <c r="L520" s="130" t="s">
        <v>30</v>
      </c>
      <c r="M520" s="130" t="s">
        <v>732</v>
      </c>
      <c r="N520" s="130" t="s">
        <v>15</v>
      </c>
      <c r="O520" s="130" t="s">
        <v>11</v>
      </c>
    </row>
    <row r="521" spans="1:15" s="28" customFormat="1" x14ac:dyDescent="0.25">
      <c r="A521" s="86">
        <v>4</v>
      </c>
      <c r="B521" s="86">
        <v>4</v>
      </c>
      <c r="C521" s="86" t="s">
        <v>880</v>
      </c>
      <c r="D521" s="86">
        <v>1</v>
      </c>
      <c r="E521" s="86" t="s">
        <v>754</v>
      </c>
      <c r="F521" s="86">
        <v>1</v>
      </c>
      <c r="G521" s="86">
        <v>1</v>
      </c>
      <c r="H521" s="86">
        <v>1</v>
      </c>
      <c r="I521" s="87">
        <v>865725.400390625</v>
      </c>
      <c r="J521" s="86" t="s">
        <v>581</v>
      </c>
      <c r="K521" s="86" t="s">
        <v>582</v>
      </c>
      <c r="L521" s="86" t="s">
        <v>30</v>
      </c>
      <c r="M521" s="86" t="s">
        <v>732</v>
      </c>
      <c r="N521" s="86" t="s">
        <v>726</v>
      </c>
      <c r="O521" s="86" t="s">
        <v>35</v>
      </c>
    </row>
    <row r="522" spans="1:15" s="264" customFormat="1" x14ac:dyDescent="0.25">
      <c r="A522" s="262">
        <v>4</v>
      </c>
      <c r="B522" s="262">
        <v>4</v>
      </c>
      <c r="C522" s="262" t="s">
        <v>880</v>
      </c>
      <c r="D522" s="262">
        <v>1</v>
      </c>
      <c r="E522" s="262" t="s">
        <v>754</v>
      </c>
      <c r="F522" s="262">
        <v>1</v>
      </c>
      <c r="G522" s="262">
        <v>1</v>
      </c>
      <c r="H522" s="262">
        <v>1</v>
      </c>
      <c r="I522" s="263">
        <v>21113.706542968699</v>
      </c>
      <c r="J522" s="262" t="s">
        <v>141</v>
      </c>
      <c r="K522" s="262" t="s">
        <v>142</v>
      </c>
      <c r="L522" s="262" t="s">
        <v>46</v>
      </c>
      <c r="M522" s="262" t="s">
        <v>883</v>
      </c>
      <c r="N522" s="262" t="s">
        <v>727</v>
      </c>
      <c r="O522" s="262" t="s">
        <v>11</v>
      </c>
    </row>
    <row r="523" spans="1:15" s="218" customFormat="1" x14ac:dyDescent="0.25">
      <c r="A523" s="265">
        <v>4</v>
      </c>
      <c r="B523" s="265">
        <v>4</v>
      </c>
      <c r="C523" s="265" t="s">
        <v>880</v>
      </c>
      <c r="D523" s="265">
        <v>1</v>
      </c>
      <c r="E523" s="265" t="s">
        <v>754</v>
      </c>
      <c r="F523" s="265">
        <v>1</v>
      </c>
      <c r="G523" s="265">
        <v>1</v>
      </c>
      <c r="H523" s="265">
        <v>1</v>
      </c>
      <c r="I523" s="266">
        <v>64936.949707031199</v>
      </c>
      <c r="J523" s="265" t="s">
        <v>161</v>
      </c>
      <c r="K523" s="265" t="s">
        <v>162</v>
      </c>
      <c r="L523" s="265" t="s">
        <v>80</v>
      </c>
      <c r="M523" s="265" t="s">
        <v>733</v>
      </c>
      <c r="N523" s="265" t="s">
        <v>728</v>
      </c>
      <c r="O523" s="265" t="s">
        <v>11</v>
      </c>
    </row>
    <row r="524" spans="1:15" s="28" customFormat="1" x14ac:dyDescent="0.25">
      <c r="A524" s="86">
        <v>4</v>
      </c>
      <c r="B524" s="86">
        <v>4</v>
      </c>
      <c r="C524" s="86" t="s">
        <v>880</v>
      </c>
      <c r="D524" s="86">
        <v>1</v>
      </c>
      <c r="E524" s="86" t="s">
        <v>754</v>
      </c>
      <c r="F524" s="86">
        <v>1</v>
      </c>
      <c r="G524" s="86">
        <v>1</v>
      </c>
      <c r="H524" s="86">
        <v>1</v>
      </c>
      <c r="I524" s="87">
        <v>909213.03027343703</v>
      </c>
      <c r="J524" s="86" t="s">
        <v>647</v>
      </c>
      <c r="K524" s="86" t="s">
        <v>648</v>
      </c>
      <c r="L524" s="86" t="s">
        <v>30</v>
      </c>
      <c r="M524" s="86" t="s">
        <v>732</v>
      </c>
      <c r="N524" s="86" t="s">
        <v>726</v>
      </c>
      <c r="O524" s="86" t="s">
        <v>35</v>
      </c>
    </row>
    <row r="525" spans="1:15" s="28" customFormat="1" x14ac:dyDescent="0.25">
      <c r="A525" s="86">
        <v>4</v>
      </c>
      <c r="B525" s="86">
        <v>4</v>
      </c>
      <c r="C525" s="86" t="s">
        <v>880</v>
      </c>
      <c r="D525" s="86">
        <v>1</v>
      </c>
      <c r="E525" s="86" t="s">
        <v>754</v>
      </c>
      <c r="F525" s="86">
        <v>1</v>
      </c>
      <c r="G525" s="86">
        <v>1</v>
      </c>
      <c r="H525" s="86">
        <v>1</v>
      </c>
      <c r="I525" s="87">
        <v>2264629.7573242099</v>
      </c>
      <c r="J525" s="86" t="s">
        <v>651</v>
      </c>
      <c r="K525" s="86" t="s">
        <v>652</v>
      </c>
      <c r="L525" s="86" t="s">
        <v>30</v>
      </c>
      <c r="M525" s="86" t="s">
        <v>732</v>
      </c>
      <c r="N525" s="86" t="s">
        <v>726</v>
      </c>
      <c r="O525" s="86" t="s">
        <v>35</v>
      </c>
    </row>
    <row r="526" spans="1:15" s="129" customFormat="1" x14ac:dyDescent="0.25">
      <c r="A526" s="130">
        <v>4</v>
      </c>
      <c r="B526" s="130">
        <v>4</v>
      </c>
      <c r="C526" s="130" t="s">
        <v>880</v>
      </c>
      <c r="D526" s="130">
        <v>1</v>
      </c>
      <c r="E526" s="130" t="s">
        <v>754</v>
      </c>
      <c r="F526" s="130">
        <v>1</v>
      </c>
      <c r="G526" s="130">
        <v>1</v>
      </c>
      <c r="H526" s="130">
        <v>1</v>
      </c>
      <c r="I526" s="131">
        <v>1764560.5815429599</v>
      </c>
      <c r="J526" s="130" t="s">
        <v>653</v>
      </c>
      <c r="K526" s="130" t="s">
        <v>654</v>
      </c>
      <c r="L526" s="130" t="s">
        <v>27</v>
      </c>
      <c r="M526" s="130" t="s">
        <v>738</v>
      </c>
      <c r="N526" s="130" t="s">
        <v>15</v>
      </c>
      <c r="O526" s="130" t="s">
        <v>11</v>
      </c>
    </row>
    <row r="527" spans="1:15" s="218" customFormat="1" x14ac:dyDescent="0.25">
      <c r="A527" s="265">
        <v>4</v>
      </c>
      <c r="B527" s="265">
        <v>4</v>
      </c>
      <c r="C527" s="265" t="s">
        <v>880</v>
      </c>
      <c r="D527" s="265">
        <v>1</v>
      </c>
      <c r="E527" s="265" t="s">
        <v>754</v>
      </c>
      <c r="F527" s="265">
        <v>1</v>
      </c>
      <c r="G527" s="265">
        <v>1</v>
      </c>
      <c r="H527" s="265">
        <v>1</v>
      </c>
      <c r="I527" s="266">
        <v>163880.32763671799</v>
      </c>
      <c r="J527" s="265" t="s">
        <v>655</v>
      </c>
      <c r="K527" s="265" t="s">
        <v>656</v>
      </c>
      <c r="L527" s="265" t="s">
        <v>80</v>
      </c>
      <c r="M527" s="265" t="s">
        <v>733</v>
      </c>
      <c r="N527" s="265" t="s">
        <v>728</v>
      </c>
      <c r="O527" s="265" t="s">
        <v>11</v>
      </c>
    </row>
    <row r="528" spans="1:15" s="218" customFormat="1" x14ac:dyDescent="0.25">
      <c r="A528" s="265">
        <v>4</v>
      </c>
      <c r="B528" s="265">
        <v>4</v>
      </c>
      <c r="C528" s="265" t="s">
        <v>880</v>
      </c>
      <c r="D528" s="265">
        <v>1</v>
      </c>
      <c r="E528" s="265" t="s">
        <v>754</v>
      </c>
      <c r="F528" s="265">
        <v>1</v>
      </c>
      <c r="G528" s="265">
        <v>1</v>
      </c>
      <c r="H528" s="265">
        <v>1</v>
      </c>
      <c r="I528" s="266">
        <v>45.015625</v>
      </c>
      <c r="J528" s="265" t="s">
        <v>659</v>
      </c>
      <c r="K528" s="265" t="s">
        <v>660</v>
      </c>
      <c r="L528" s="265" t="s">
        <v>80</v>
      </c>
      <c r="M528" s="265" t="s">
        <v>733</v>
      </c>
      <c r="N528" s="265" t="s">
        <v>728</v>
      </c>
      <c r="O528" s="265" t="s">
        <v>11</v>
      </c>
    </row>
    <row r="529" spans="1:15" s="218" customFormat="1" x14ac:dyDescent="0.25">
      <c r="A529" s="265">
        <v>4</v>
      </c>
      <c r="B529" s="265">
        <v>4</v>
      </c>
      <c r="C529" s="265" t="s">
        <v>880</v>
      </c>
      <c r="D529" s="265">
        <v>1</v>
      </c>
      <c r="E529" s="265" t="s">
        <v>754</v>
      </c>
      <c r="F529" s="265">
        <v>1</v>
      </c>
      <c r="G529" s="265">
        <v>1</v>
      </c>
      <c r="H529" s="265">
        <v>1</v>
      </c>
      <c r="I529" s="266">
        <v>229282.32373046799</v>
      </c>
      <c r="J529" s="265" t="s">
        <v>450</v>
      </c>
      <c r="K529" s="265" t="s">
        <v>451</v>
      </c>
      <c r="L529" s="265" t="s">
        <v>14</v>
      </c>
      <c r="M529" s="265" t="s">
        <v>740</v>
      </c>
      <c r="N529" s="265" t="s">
        <v>728</v>
      </c>
      <c r="O529" s="265" t="s">
        <v>11</v>
      </c>
    </row>
    <row r="530" spans="1:15" s="264" customFormat="1" x14ac:dyDescent="0.25">
      <c r="A530" s="262">
        <v>4</v>
      </c>
      <c r="B530" s="262">
        <v>4</v>
      </c>
      <c r="C530" s="262" t="s">
        <v>880</v>
      </c>
      <c r="D530" s="262">
        <v>1</v>
      </c>
      <c r="E530" s="262" t="s">
        <v>754</v>
      </c>
      <c r="F530" s="262">
        <v>1</v>
      </c>
      <c r="G530" s="262">
        <v>1</v>
      </c>
      <c r="H530" s="262">
        <v>1</v>
      </c>
      <c r="I530" s="263">
        <v>474121.20166015602</v>
      </c>
      <c r="J530" s="262" t="s">
        <v>454</v>
      </c>
      <c r="K530" s="262" t="s">
        <v>455</v>
      </c>
      <c r="L530" s="262" t="s">
        <v>18</v>
      </c>
      <c r="M530" s="262" t="s">
        <v>19</v>
      </c>
      <c r="N530" s="262" t="s">
        <v>727</v>
      </c>
      <c r="O530" s="262" t="s">
        <v>11</v>
      </c>
    </row>
    <row r="531" spans="1:15" s="264" customFormat="1" x14ac:dyDescent="0.25">
      <c r="A531" s="262">
        <v>4</v>
      </c>
      <c r="B531" s="262">
        <v>4</v>
      </c>
      <c r="C531" s="262" t="s">
        <v>880</v>
      </c>
      <c r="D531" s="262">
        <v>1</v>
      </c>
      <c r="E531" s="262" t="s">
        <v>754</v>
      </c>
      <c r="F531" s="262">
        <v>1</v>
      </c>
      <c r="G531" s="262">
        <v>1</v>
      </c>
      <c r="H531" s="262">
        <v>1</v>
      </c>
      <c r="I531" s="263">
        <v>450961.60302734299</v>
      </c>
      <c r="J531" s="262" t="s">
        <v>391</v>
      </c>
      <c r="K531" s="262" t="s">
        <v>392</v>
      </c>
      <c r="L531" s="262" t="s">
        <v>14</v>
      </c>
      <c r="M531" s="262" t="s">
        <v>740</v>
      </c>
      <c r="N531" s="262" t="s">
        <v>727</v>
      </c>
      <c r="O531" s="262" t="s">
        <v>741</v>
      </c>
    </row>
    <row r="532" spans="1:15" s="218" customFormat="1" x14ac:dyDescent="0.25">
      <c r="A532" s="265">
        <v>4</v>
      </c>
      <c r="B532" s="265">
        <v>4</v>
      </c>
      <c r="C532" s="265" t="s">
        <v>880</v>
      </c>
      <c r="D532" s="265">
        <v>1</v>
      </c>
      <c r="E532" s="265" t="s">
        <v>754</v>
      </c>
      <c r="F532" s="265">
        <v>1</v>
      </c>
      <c r="G532" s="265">
        <v>1</v>
      </c>
      <c r="H532" s="265">
        <v>1</v>
      </c>
      <c r="I532" s="266">
        <v>1030173.01855468</v>
      </c>
      <c r="J532" s="265" t="s">
        <v>379</v>
      </c>
      <c r="K532" s="265" t="s">
        <v>380</v>
      </c>
      <c r="L532" s="265" t="s">
        <v>30</v>
      </c>
      <c r="M532" s="265" t="s">
        <v>732</v>
      </c>
      <c r="N532" s="265" t="s">
        <v>728</v>
      </c>
      <c r="O532" s="265" t="s">
        <v>11</v>
      </c>
    </row>
    <row r="533" spans="1:15" s="218" customFormat="1" x14ac:dyDescent="0.25">
      <c r="A533" s="265">
        <v>4</v>
      </c>
      <c r="B533" s="265">
        <v>4</v>
      </c>
      <c r="C533" s="265" t="s">
        <v>880</v>
      </c>
      <c r="D533" s="265">
        <v>1</v>
      </c>
      <c r="E533" s="265" t="s">
        <v>754</v>
      </c>
      <c r="F533" s="265">
        <v>1</v>
      </c>
      <c r="G533" s="265">
        <v>1</v>
      </c>
      <c r="H533" s="265">
        <v>1</v>
      </c>
      <c r="I533" s="266">
        <v>73757.878417968706</v>
      </c>
      <c r="J533" s="265" t="s">
        <v>507</v>
      </c>
      <c r="K533" s="265" t="s">
        <v>508</v>
      </c>
      <c r="L533" s="265" t="s">
        <v>80</v>
      </c>
      <c r="M533" s="265" t="s">
        <v>733</v>
      </c>
      <c r="N533" s="265" t="s">
        <v>728</v>
      </c>
      <c r="O533" s="265" t="s">
        <v>11</v>
      </c>
    </row>
    <row r="534" spans="1:15" s="129" customFormat="1" x14ac:dyDescent="0.25">
      <c r="A534" s="130">
        <v>4</v>
      </c>
      <c r="B534" s="130">
        <v>4</v>
      </c>
      <c r="C534" s="130" t="s">
        <v>880</v>
      </c>
      <c r="D534" s="130">
        <v>1</v>
      </c>
      <c r="E534" s="130" t="s">
        <v>754</v>
      </c>
      <c r="F534" s="130">
        <v>1</v>
      </c>
      <c r="G534" s="130">
        <v>1</v>
      </c>
      <c r="H534" s="130">
        <v>1</v>
      </c>
      <c r="I534" s="131">
        <v>87039.974609375</v>
      </c>
      <c r="J534" s="130" t="s">
        <v>347</v>
      </c>
      <c r="K534" s="130" t="s">
        <v>348</v>
      </c>
      <c r="L534" s="130" t="s">
        <v>18</v>
      </c>
      <c r="M534" s="130" t="s">
        <v>19</v>
      </c>
      <c r="N534" s="130" t="s">
        <v>15</v>
      </c>
      <c r="O534" s="130" t="s">
        <v>11</v>
      </c>
    </row>
    <row r="535" spans="1:15" s="129" customFormat="1" x14ac:dyDescent="0.25">
      <c r="A535" s="130">
        <v>4</v>
      </c>
      <c r="B535" s="130">
        <v>4</v>
      </c>
      <c r="C535" s="130" t="s">
        <v>880</v>
      </c>
      <c r="D535" s="130">
        <v>1</v>
      </c>
      <c r="E535" s="130" t="s">
        <v>754</v>
      </c>
      <c r="F535" s="130">
        <v>1</v>
      </c>
      <c r="G535" s="130">
        <v>1</v>
      </c>
      <c r="H535" s="130">
        <v>1</v>
      </c>
      <c r="I535" s="131">
        <v>894748.68408203102</v>
      </c>
      <c r="J535" s="130" t="s">
        <v>579</v>
      </c>
      <c r="K535" s="130" t="s">
        <v>580</v>
      </c>
      <c r="L535" s="130" t="s">
        <v>14</v>
      </c>
      <c r="M535" s="130" t="s">
        <v>740</v>
      </c>
      <c r="N535" s="130" t="s">
        <v>15</v>
      </c>
      <c r="O535" s="130" t="s">
        <v>879</v>
      </c>
    </row>
    <row r="536" spans="1:15" s="269" customFormat="1" x14ac:dyDescent="0.25">
      <c r="A536" s="267">
        <v>4</v>
      </c>
      <c r="B536" s="267">
        <v>4</v>
      </c>
      <c r="C536" s="267" t="s">
        <v>880</v>
      </c>
      <c r="D536" s="267">
        <v>1</v>
      </c>
      <c r="E536" s="267" t="s">
        <v>754</v>
      </c>
      <c r="F536" s="267">
        <v>1</v>
      </c>
      <c r="G536" s="267">
        <v>1</v>
      </c>
      <c r="H536" s="267">
        <v>1</v>
      </c>
      <c r="I536" s="268">
        <v>531682.486328125</v>
      </c>
      <c r="J536" s="267" t="s">
        <v>205</v>
      </c>
      <c r="K536" s="267" t="s">
        <v>206</v>
      </c>
      <c r="L536" s="267" t="s">
        <v>14</v>
      </c>
      <c r="M536" s="267" t="s">
        <v>740</v>
      </c>
      <c r="N536" s="267" t="s">
        <v>729</v>
      </c>
      <c r="O536" s="267" t="s">
        <v>741</v>
      </c>
    </row>
    <row r="537" spans="1:15" s="218" customFormat="1" x14ac:dyDescent="0.25">
      <c r="A537" s="265">
        <v>4</v>
      </c>
      <c r="B537" s="265">
        <v>4</v>
      </c>
      <c r="C537" s="265" t="s">
        <v>880</v>
      </c>
      <c r="D537" s="265">
        <v>1</v>
      </c>
      <c r="E537" s="265" t="s">
        <v>754</v>
      </c>
      <c r="F537" s="265">
        <v>1</v>
      </c>
      <c r="G537" s="265">
        <v>1</v>
      </c>
      <c r="H537" s="265">
        <v>1</v>
      </c>
      <c r="I537" s="266">
        <v>126252.208984375</v>
      </c>
      <c r="J537" s="265" t="s">
        <v>273</v>
      </c>
      <c r="K537" s="265" t="s">
        <v>274</v>
      </c>
      <c r="L537" s="265" t="s">
        <v>80</v>
      </c>
      <c r="M537" s="265" t="s">
        <v>733</v>
      </c>
      <c r="N537" s="265" t="s">
        <v>728</v>
      </c>
      <c r="O537" s="265" t="s">
        <v>11</v>
      </c>
    </row>
    <row r="538" spans="1:15" s="264" customFormat="1" x14ac:dyDescent="0.25">
      <c r="A538" s="262">
        <v>4</v>
      </c>
      <c r="B538" s="262">
        <v>4</v>
      </c>
      <c r="C538" s="262" t="s">
        <v>880</v>
      </c>
      <c r="D538" s="262">
        <v>1</v>
      </c>
      <c r="E538" s="262" t="s">
        <v>754</v>
      </c>
      <c r="F538" s="262">
        <v>1</v>
      </c>
      <c r="G538" s="262">
        <v>1</v>
      </c>
      <c r="H538" s="262">
        <v>1</v>
      </c>
      <c r="I538" s="263">
        <v>13886.356933593701</v>
      </c>
      <c r="J538" s="262" t="s">
        <v>201</v>
      </c>
      <c r="K538" s="262" t="s">
        <v>202</v>
      </c>
      <c r="L538" s="262" t="s">
        <v>80</v>
      </c>
      <c r="M538" s="262" t="s">
        <v>733</v>
      </c>
      <c r="N538" s="262" t="s">
        <v>727</v>
      </c>
      <c r="O538" s="262" t="s">
        <v>11</v>
      </c>
    </row>
    <row r="539" spans="1:15" s="264" customFormat="1" x14ac:dyDescent="0.25">
      <c r="A539" s="262">
        <v>4</v>
      </c>
      <c r="B539" s="262">
        <v>4</v>
      </c>
      <c r="C539" s="262" t="s">
        <v>880</v>
      </c>
      <c r="D539" s="262">
        <v>1</v>
      </c>
      <c r="E539" s="262" t="s">
        <v>754</v>
      </c>
      <c r="F539" s="262">
        <v>1</v>
      </c>
      <c r="G539" s="262">
        <v>1</v>
      </c>
      <c r="H539" s="262">
        <v>1</v>
      </c>
      <c r="I539" s="263">
        <v>337364.07763671799</v>
      </c>
      <c r="J539" s="262" t="s">
        <v>78</v>
      </c>
      <c r="K539" s="262" t="s">
        <v>79</v>
      </c>
      <c r="L539" s="262" t="s">
        <v>80</v>
      </c>
      <c r="M539" s="262" t="s">
        <v>733</v>
      </c>
      <c r="N539" s="262" t="s">
        <v>727</v>
      </c>
      <c r="O539" s="262" t="s">
        <v>11</v>
      </c>
    </row>
    <row r="540" spans="1:15" s="28" customFormat="1" x14ac:dyDescent="0.25">
      <c r="A540" s="86">
        <v>4</v>
      </c>
      <c r="B540" s="86">
        <v>4</v>
      </c>
      <c r="C540" s="86" t="s">
        <v>880</v>
      </c>
      <c r="D540" s="86">
        <v>1</v>
      </c>
      <c r="E540" s="86" t="s">
        <v>754</v>
      </c>
      <c r="F540" s="86">
        <v>1</v>
      </c>
      <c r="G540" s="86">
        <v>1</v>
      </c>
      <c r="H540" s="86">
        <v>1</v>
      </c>
      <c r="I540" s="87">
        <v>168976.89746093701</v>
      </c>
      <c r="J540" s="86" t="s">
        <v>669</v>
      </c>
      <c r="K540" s="86" t="s">
        <v>670</v>
      </c>
      <c r="L540" s="86" t="s">
        <v>140</v>
      </c>
      <c r="M540" s="86" t="s">
        <v>734</v>
      </c>
      <c r="N540" s="86" t="s">
        <v>726</v>
      </c>
      <c r="O540" s="86" t="s">
        <v>35</v>
      </c>
    </row>
    <row r="541" spans="1:15" s="264" customFormat="1" x14ac:dyDescent="0.25">
      <c r="A541" s="262">
        <v>4</v>
      </c>
      <c r="B541" s="262">
        <v>4</v>
      </c>
      <c r="C541" s="262" t="s">
        <v>880</v>
      </c>
      <c r="D541" s="262">
        <v>1</v>
      </c>
      <c r="E541" s="262" t="s">
        <v>754</v>
      </c>
      <c r="F541" s="262">
        <v>1</v>
      </c>
      <c r="G541" s="262">
        <v>1</v>
      </c>
      <c r="H541" s="262">
        <v>1</v>
      </c>
      <c r="I541" s="263">
        <v>29270.703125</v>
      </c>
      <c r="J541" s="262" t="s">
        <v>405</v>
      </c>
      <c r="K541" s="262" t="s">
        <v>406</v>
      </c>
      <c r="L541" s="262" t="s">
        <v>30</v>
      </c>
      <c r="M541" s="262" t="s">
        <v>732</v>
      </c>
      <c r="N541" s="262" t="s">
        <v>727</v>
      </c>
      <c r="O541" s="262" t="s">
        <v>11</v>
      </c>
    </row>
    <row r="542" spans="1:15" s="269" customFormat="1" x14ac:dyDescent="0.25">
      <c r="A542" s="267">
        <v>4</v>
      </c>
      <c r="B542" s="267">
        <v>4</v>
      </c>
      <c r="C542" s="267" t="s">
        <v>880</v>
      </c>
      <c r="D542" s="267">
        <v>1</v>
      </c>
      <c r="E542" s="267" t="s">
        <v>754</v>
      </c>
      <c r="F542" s="267">
        <v>1</v>
      </c>
      <c r="G542" s="267">
        <v>1</v>
      </c>
      <c r="H542" s="267">
        <v>1</v>
      </c>
      <c r="I542" s="268">
        <v>182.9072265625</v>
      </c>
      <c r="J542" s="267" t="s">
        <v>128</v>
      </c>
      <c r="K542" s="267" t="s">
        <v>129</v>
      </c>
      <c r="L542" s="267" t="s">
        <v>80</v>
      </c>
      <c r="M542" s="267" t="s">
        <v>733</v>
      </c>
      <c r="N542" s="267" t="s">
        <v>729</v>
      </c>
      <c r="O542" s="267" t="s">
        <v>11</v>
      </c>
    </row>
    <row r="543" spans="1:15" s="218" customFormat="1" x14ac:dyDescent="0.25">
      <c r="A543" s="265">
        <v>4</v>
      </c>
      <c r="B543" s="265">
        <v>4</v>
      </c>
      <c r="C543" s="265" t="s">
        <v>880</v>
      </c>
      <c r="D543" s="265">
        <v>1</v>
      </c>
      <c r="E543" s="265" t="s">
        <v>754</v>
      </c>
      <c r="F543" s="265">
        <v>1</v>
      </c>
      <c r="G543" s="265">
        <v>1</v>
      </c>
      <c r="H543" s="265">
        <v>1</v>
      </c>
      <c r="I543" s="266">
        <v>723333.228515625</v>
      </c>
      <c r="J543" s="265" t="s">
        <v>454</v>
      </c>
      <c r="K543" s="265" t="s">
        <v>455</v>
      </c>
      <c r="L543" s="265" t="s">
        <v>18</v>
      </c>
      <c r="M543" s="265" t="s">
        <v>19</v>
      </c>
      <c r="N543" s="265" t="s">
        <v>728</v>
      </c>
      <c r="O543" s="265" t="s">
        <v>11</v>
      </c>
    </row>
    <row r="544" spans="1:15" s="264" customFormat="1" x14ac:dyDescent="0.25">
      <c r="A544" s="262">
        <v>4</v>
      </c>
      <c r="B544" s="262">
        <v>4</v>
      </c>
      <c r="C544" s="262" t="s">
        <v>880</v>
      </c>
      <c r="D544" s="262">
        <v>1</v>
      </c>
      <c r="E544" s="262" t="s">
        <v>754</v>
      </c>
      <c r="F544" s="262">
        <v>1</v>
      </c>
      <c r="G544" s="262">
        <v>1</v>
      </c>
      <c r="H544" s="262">
        <v>1</v>
      </c>
      <c r="I544" s="263">
        <v>95893.5166015625</v>
      </c>
      <c r="J544" s="262" t="s">
        <v>448</v>
      </c>
      <c r="K544" s="262" t="s">
        <v>449</v>
      </c>
      <c r="L544" s="262" t="s">
        <v>80</v>
      </c>
      <c r="M544" s="262" t="s">
        <v>733</v>
      </c>
      <c r="N544" s="262" t="s">
        <v>727</v>
      </c>
      <c r="O544" s="262" t="s">
        <v>11</v>
      </c>
    </row>
    <row r="545" spans="1:15" s="129" customFormat="1" x14ac:dyDescent="0.25">
      <c r="A545" s="130">
        <v>4</v>
      </c>
      <c r="B545" s="130">
        <v>4</v>
      </c>
      <c r="C545" s="130" t="s">
        <v>880</v>
      </c>
      <c r="D545" s="130">
        <v>1</v>
      </c>
      <c r="E545" s="130" t="s">
        <v>754</v>
      </c>
      <c r="F545" s="130">
        <v>1</v>
      </c>
      <c r="G545" s="130">
        <v>1</v>
      </c>
      <c r="H545" s="130">
        <v>1</v>
      </c>
      <c r="I545" s="131">
        <v>18.54931640625</v>
      </c>
      <c r="J545" s="130" t="s">
        <v>659</v>
      </c>
      <c r="K545" s="130" t="s">
        <v>660</v>
      </c>
      <c r="L545" s="130" t="s">
        <v>80</v>
      </c>
      <c r="M545" s="130" t="s">
        <v>733</v>
      </c>
      <c r="N545" s="130" t="s">
        <v>15</v>
      </c>
      <c r="O545" s="130" t="s">
        <v>11</v>
      </c>
    </row>
    <row r="546" spans="1:15" s="264" customFormat="1" x14ac:dyDescent="0.25">
      <c r="A546" s="262">
        <v>4</v>
      </c>
      <c r="B546" s="262">
        <v>4</v>
      </c>
      <c r="C546" s="262" t="s">
        <v>880</v>
      </c>
      <c r="D546" s="262">
        <v>1</v>
      </c>
      <c r="E546" s="262" t="s">
        <v>754</v>
      </c>
      <c r="F546" s="262">
        <v>1</v>
      </c>
      <c r="G546" s="262">
        <v>1</v>
      </c>
      <c r="H546" s="262">
        <v>1</v>
      </c>
      <c r="I546" s="263">
        <v>75093.468261718706</v>
      </c>
      <c r="J546" s="262" t="s">
        <v>655</v>
      </c>
      <c r="K546" s="262" t="s">
        <v>656</v>
      </c>
      <c r="L546" s="262" t="s">
        <v>80</v>
      </c>
      <c r="M546" s="262" t="s">
        <v>733</v>
      </c>
      <c r="N546" s="262" t="s">
        <v>727</v>
      </c>
      <c r="O546" s="262" t="s">
        <v>11</v>
      </c>
    </row>
    <row r="547" spans="1:15" s="129" customFormat="1" x14ac:dyDescent="0.25">
      <c r="A547" s="130">
        <v>4</v>
      </c>
      <c r="B547" s="130">
        <v>4</v>
      </c>
      <c r="C547" s="130" t="s">
        <v>880</v>
      </c>
      <c r="D547" s="130">
        <v>1</v>
      </c>
      <c r="E547" s="130" t="s">
        <v>754</v>
      </c>
      <c r="F547" s="130">
        <v>1</v>
      </c>
      <c r="G547" s="130">
        <v>1</v>
      </c>
      <c r="H547" s="130">
        <v>1</v>
      </c>
      <c r="I547" s="131">
        <v>632424.90576171805</v>
      </c>
      <c r="J547" s="130" t="s">
        <v>682</v>
      </c>
      <c r="K547" s="130" t="s">
        <v>683</v>
      </c>
      <c r="L547" s="130" t="s">
        <v>30</v>
      </c>
      <c r="M547" s="130" t="s">
        <v>732</v>
      </c>
      <c r="N547" s="130" t="s">
        <v>15</v>
      </c>
      <c r="O547" s="130" t="s">
        <v>11</v>
      </c>
    </row>
    <row r="548" spans="1:15" s="28" customFormat="1" x14ac:dyDescent="0.25">
      <c r="A548" s="86">
        <v>4</v>
      </c>
      <c r="B548" s="86">
        <v>4</v>
      </c>
      <c r="C548" s="86" t="s">
        <v>880</v>
      </c>
      <c r="D548" s="86">
        <v>1</v>
      </c>
      <c r="E548" s="86" t="s">
        <v>754</v>
      </c>
      <c r="F548" s="86">
        <v>1</v>
      </c>
      <c r="G548" s="86">
        <v>1</v>
      </c>
      <c r="H548" s="86">
        <v>1</v>
      </c>
      <c r="I548" s="87">
        <v>313764.62353515602</v>
      </c>
      <c r="J548" s="86" t="s">
        <v>690</v>
      </c>
      <c r="K548" s="86" t="s">
        <v>691</v>
      </c>
      <c r="L548" s="86" t="s">
        <v>30</v>
      </c>
      <c r="M548" s="86" t="s">
        <v>732</v>
      </c>
      <c r="N548" s="86" t="s">
        <v>726</v>
      </c>
      <c r="O548" s="86" t="s">
        <v>35</v>
      </c>
    </row>
    <row r="549" spans="1:15" s="264" customFormat="1" x14ac:dyDescent="0.25">
      <c r="A549" s="262">
        <v>4</v>
      </c>
      <c r="B549" s="262">
        <v>4</v>
      </c>
      <c r="C549" s="262" t="s">
        <v>880</v>
      </c>
      <c r="D549" s="262">
        <v>1</v>
      </c>
      <c r="E549" s="262" t="s">
        <v>754</v>
      </c>
      <c r="F549" s="262">
        <v>1</v>
      </c>
      <c r="G549" s="262">
        <v>1</v>
      </c>
      <c r="H549" s="262">
        <v>1</v>
      </c>
      <c r="I549" s="263">
        <v>171516.53222656201</v>
      </c>
      <c r="J549" s="262" t="s">
        <v>219</v>
      </c>
      <c r="K549" s="262" t="s">
        <v>220</v>
      </c>
      <c r="L549" s="262" t="s">
        <v>80</v>
      </c>
      <c r="M549" s="262" t="s">
        <v>733</v>
      </c>
      <c r="N549" s="262" t="s">
        <v>727</v>
      </c>
      <c r="O549" s="262" t="s">
        <v>11</v>
      </c>
    </row>
    <row r="550" spans="1:15" s="218" customFormat="1" x14ac:dyDescent="0.25">
      <c r="A550" s="265">
        <v>4</v>
      </c>
      <c r="B550" s="265">
        <v>4</v>
      </c>
      <c r="C550" s="265" t="s">
        <v>880</v>
      </c>
      <c r="D550" s="265">
        <v>1</v>
      </c>
      <c r="E550" s="265" t="s">
        <v>754</v>
      </c>
      <c r="F550" s="265">
        <v>1</v>
      </c>
      <c r="G550" s="265">
        <v>1</v>
      </c>
      <c r="H550" s="265">
        <v>1</v>
      </c>
      <c r="I550" s="266">
        <v>85560.292480468706</v>
      </c>
      <c r="J550" s="265" t="s">
        <v>692</v>
      </c>
      <c r="K550" s="265" t="s">
        <v>693</v>
      </c>
      <c r="L550" s="265" t="s">
        <v>30</v>
      </c>
      <c r="M550" s="265" t="s">
        <v>732</v>
      </c>
      <c r="N550" s="265" t="s">
        <v>728</v>
      </c>
      <c r="O550" s="265" t="s">
        <v>11</v>
      </c>
    </row>
    <row r="551" spans="1:15" s="218" customFormat="1" x14ac:dyDescent="0.25">
      <c r="A551" s="265">
        <v>4</v>
      </c>
      <c r="B551" s="265">
        <v>4</v>
      </c>
      <c r="C551" s="265" t="s">
        <v>880</v>
      </c>
      <c r="D551" s="265">
        <v>1</v>
      </c>
      <c r="E551" s="265" t="s">
        <v>754</v>
      </c>
      <c r="F551" s="265">
        <v>1</v>
      </c>
      <c r="G551" s="265">
        <v>1</v>
      </c>
      <c r="H551" s="265">
        <v>1</v>
      </c>
      <c r="I551" s="266">
        <v>242174.22216796799</v>
      </c>
      <c r="J551" s="265" t="s">
        <v>393</v>
      </c>
      <c r="K551" s="265" t="s">
        <v>394</v>
      </c>
      <c r="L551" s="265" t="s">
        <v>18</v>
      </c>
      <c r="M551" s="265" t="s">
        <v>19</v>
      </c>
      <c r="N551" s="265" t="s">
        <v>728</v>
      </c>
      <c r="O551" s="265" t="s">
        <v>11</v>
      </c>
    </row>
    <row r="552" spans="1:15" s="218" customFormat="1" x14ac:dyDescent="0.25">
      <c r="A552" s="265">
        <v>4</v>
      </c>
      <c r="B552" s="265">
        <v>4</v>
      </c>
      <c r="C552" s="265" t="s">
        <v>880</v>
      </c>
      <c r="D552" s="265">
        <v>1</v>
      </c>
      <c r="E552" s="265" t="s">
        <v>754</v>
      </c>
      <c r="F552" s="265">
        <v>1</v>
      </c>
      <c r="G552" s="265">
        <v>1</v>
      </c>
      <c r="H552" s="265">
        <v>1</v>
      </c>
      <c r="I552" s="266">
        <v>318960.47509765602</v>
      </c>
      <c r="J552" s="265" t="s">
        <v>169</v>
      </c>
      <c r="K552" s="265" t="s">
        <v>170</v>
      </c>
      <c r="L552" s="265" t="s">
        <v>80</v>
      </c>
      <c r="M552" s="265" t="s">
        <v>733</v>
      </c>
      <c r="N552" s="265" t="s">
        <v>728</v>
      </c>
      <c r="O552" s="265" t="s">
        <v>11</v>
      </c>
    </row>
    <row r="553" spans="1:15" s="129" customFormat="1" x14ac:dyDescent="0.25">
      <c r="A553" s="130">
        <v>4</v>
      </c>
      <c r="B553" s="130">
        <v>4</v>
      </c>
      <c r="C553" s="130" t="s">
        <v>880</v>
      </c>
      <c r="D553" s="130">
        <v>1</v>
      </c>
      <c r="E553" s="130" t="s">
        <v>754</v>
      </c>
      <c r="F553" s="130">
        <v>1</v>
      </c>
      <c r="G553" s="130">
        <v>1</v>
      </c>
      <c r="H553" s="130">
        <v>1</v>
      </c>
      <c r="I553" s="131">
        <v>4688615.0605468703</v>
      </c>
      <c r="J553" s="130" t="s">
        <v>529</v>
      </c>
      <c r="K553" s="130" t="s">
        <v>530</v>
      </c>
      <c r="L553" s="130" t="s">
        <v>80</v>
      </c>
      <c r="M553" s="130" t="s">
        <v>733</v>
      </c>
      <c r="N553" s="130" t="s">
        <v>15</v>
      </c>
      <c r="O553" s="130" t="s">
        <v>11</v>
      </c>
    </row>
    <row r="554" spans="1:15" s="218" customFormat="1" x14ac:dyDescent="0.25">
      <c r="A554" s="265">
        <v>4</v>
      </c>
      <c r="B554" s="265">
        <v>4</v>
      </c>
      <c r="C554" s="265" t="s">
        <v>880</v>
      </c>
      <c r="D554" s="265">
        <v>1</v>
      </c>
      <c r="E554" s="265" t="s">
        <v>754</v>
      </c>
      <c r="F554" s="265">
        <v>1</v>
      </c>
      <c r="G554" s="265">
        <v>1</v>
      </c>
      <c r="H554" s="265">
        <v>1</v>
      </c>
      <c r="I554" s="266">
        <v>591756.45361328102</v>
      </c>
      <c r="J554" s="265" t="s">
        <v>93</v>
      </c>
      <c r="K554" s="265" t="s">
        <v>94</v>
      </c>
      <c r="L554" s="265" t="s">
        <v>30</v>
      </c>
      <c r="M554" s="265" t="s">
        <v>732</v>
      </c>
      <c r="N554" s="265" t="s">
        <v>728</v>
      </c>
      <c r="O554" s="265" t="s">
        <v>11</v>
      </c>
    </row>
    <row r="555" spans="1:15" s="264" customFormat="1" x14ac:dyDescent="0.25">
      <c r="A555" s="262">
        <v>4</v>
      </c>
      <c r="B555" s="262">
        <v>4</v>
      </c>
      <c r="C555" s="262" t="s">
        <v>880</v>
      </c>
      <c r="D555" s="262">
        <v>1</v>
      </c>
      <c r="E555" s="262" t="s">
        <v>754</v>
      </c>
      <c r="F555" s="262">
        <v>1</v>
      </c>
      <c r="G555" s="262">
        <v>1</v>
      </c>
      <c r="H555" s="262">
        <v>1</v>
      </c>
      <c r="I555" s="263">
        <v>27780.6513671875</v>
      </c>
      <c r="J555" s="262" t="s">
        <v>694</v>
      </c>
      <c r="K555" s="262" t="s">
        <v>695</v>
      </c>
      <c r="L555" s="262" t="s">
        <v>30</v>
      </c>
      <c r="M555" s="262" t="s">
        <v>732</v>
      </c>
      <c r="N555" s="262" t="s">
        <v>727</v>
      </c>
      <c r="O555" s="262" t="s">
        <v>11</v>
      </c>
    </row>
    <row r="556" spans="1:15" s="129" customFormat="1" x14ac:dyDescent="0.25">
      <c r="A556" s="130">
        <v>4</v>
      </c>
      <c r="B556" s="130">
        <v>4</v>
      </c>
      <c r="C556" s="130" t="s">
        <v>880</v>
      </c>
      <c r="D556" s="130">
        <v>1</v>
      </c>
      <c r="E556" s="130" t="s">
        <v>754</v>
      </c>
      <c r="F556" s="130">
        <v>1</v>
      </c>
      <c r="G556" s="130">
        <v>1</v>
      </c>
      <c r="H556" s="130">
        <v>1</v>
      </c>
      <c r="I556" s="131">
        <v>316554.89111328102</v>
      </c>
      <c r="J556" s="130" t="s">
        <v>655</v>
      </c>
      <c r="K556" s="130" t="s">
        <v>656</v>
      </c>
      <c r="L556" s="130" t="s">
        <v>80</v>
      </c>
      <c r="M556" s="130" t="s">
        <v>733</v>
      </c>
      <c r="N556" s="130" t="s">
        <v>15</v>
      </c>
      <c r="O556" s="130" t="s">
        <v>11</v>
      </c>
    </row>
    <row r="557" spans="1:15" s="129" customFormat="1" x14ac:dyDescent="0.25">
      <c r="A557" s="130">
        <v>4</v>
      </c>
      <c r="B557" s="130">
        <v>4</v>
      </c>
      <c r="C557" s="130" t="s">
        <v>880</v>
      </c>
      <c r="D557" s="130">
        <v>1</v>
      </c>
      <c r="E557" s="130" t="s">
        <v>754</v>
      </c>
      <c r="F557" s="130">
        <v>1</v>
      </c>
      <c r="G557" s="130">
        <v>1</v>
      </c>
      <c r="H557" s="130">
        <v>1</v>
      </c>
      <c r="I557" s="131">
        <v>638497.12402343703</v>
      </c>
      <c r="J557" s="130" t="s">
        <v>53</v>
      </c>
      <c r="K557" s="130" t="s">
        <v>54</v>
      </c>
      <c r="L557" s="130" t="s">
        <v>30</v>
      </c>
      <c r="M557" s="130" t="s">
        <v>732</v>
      </c>
      <c r="N557" s="130" t="s">
        <v>15</v>
      </c>
      <c r="O557" s="130" t="s">
        <v>11</v>
      </c>
    </row>
    <row r="558" spans="1:15" s="218" customFormat="1" x14ac:dyDescent="0.25">
      <c r="A558" s="265">
        <v>4</v>
      </c>
      <c r="B558" s="265">
        <v>4</v>
      </c>
      <c r="C558" s="265" t="s">
        <v>880</v>
      </c>
      <c r="D558" s="265">
        <v>1</v>
      </c>
      <c r="E558" s="265" t="s">
        <v>754</v>
      </c>
      <c r="F558" s="265">
        <v>1</v>
      </c>
      <c r="G558" s="265">
        <v>1</v>
      </c>
      <c r="H558" s="265">
        <v>1</v>
      </c>
      <c r="I558" s="266">
        <v>57208.358886718699</v>
      </c>
      <c r="J558" s="265" t="s">
        <v>696</v>
      </c>
      <c r="K558" s="265" t="s">
        <v>697</v>
      </c>
      <c r="L558" s="265" t="s">
        <v>30</v>
      </c>
      <c r="M558" s="265" t="s">
        <v>732</v>
      </c>
      <c r="N558" s="265" t="s">
        <v>728</v>
      </c>
      <c r="O558" s="265" t="s">
        <v>11</v>
      </c>
    </row>
    <row r="559" spans="1:15" s="218" customFormat="1" x14ac:dyDescent="0.25">
      <c r="A559" s="265">
        <v>4</v>
      </c>
      <c r="B559" s="265">
        <v>4</v>
      </c>
      <c r="C559" s="265" t="s">
        <v>880</v>
      </c>
      <c r="D559" s="265">
        <v>1</v>
      </c>
      <c r="E559" s="265" t="s">
        <v>754</v>
      </c>
      <c r="F559" s="265">
        <v>1</v>
      </c>
      <c r="G559" s="265">
        <v>1</v>
      </c>
      <c r="H559" s="265">
        <v>1</v>
      </c>
      <c r="I559" s="266">
        <v>596003.50732421805</v>
      </c>
      <c r="J559" s="265" t="s">
        <v>357</v>
      </c>
      <c r="K559" s="265" t="s">
        <v>358</v>
      </c>
      <c r="L559" s="265" t="s">
        <v>14</v>
      </c>
      <c r="M559" s="265" t="s">
        <v>740</v>
      </c>
      <c r="N559" s="265" t="s">
        <v>728</v>
      </c>
      <c r="O559" s="265" t="s">
        <v>11</v>
      </c>
    </row>
    <row r="560" spans="1:15" s="129" customFormat="1" x14ac:dyDescent="0.25">
      <c r="A560" s="130">
        <v>4</v>
      </c>
      <c r="B560" s="130">
        <v>4</v>
      </c>
      <c r="C560" s="130" t="s">
        <v>880</v>
      </c>
      <c r="D560" s="130">
        <v>1</v>
      </c>
      <c r="E560" s="130" t="s">
        <v>754</v>
      </c>
      <c r="F560" s="130">
        <v>1</v>
      </c>
      <c r="G560" s="130">
        <v>1</v>
      </c>
      <c r="H560" s="130">
        <v>1</v>
      </c>
      <c r="I560" s="131">
        <v>2252339.6479492099</v>
      </c>
      <c r="J560" s="130" t="s">
        <v>694</v>
      </c>
      <c r="K560" s="130" t="s">
        <v>695</v>
      </c>
      <c r="L560" s="130" t="s">
        <v>30</v>
      </c>
      <c r="M560" s="130" t="s">
        <v>732</v>
      </c>
      <c r="N560" s="130" t="s">
        <v>15</v>
      </c>
      <c r="O560" s="130" t="s">
        <v>11</v>
      </c>
    </row>
    <row r="561" spans="1:15" s="129" customFormat="1" x14ac:dyDescent="0.25">
      <c r="A561" s="130">
        <v>4</v>
      </c>
      <c r="B561" s="130">
        <v>4</v>
      </c>
      <c r="C561" s="130" t="s">
        <v>880</v>
      </c>
      <c r="D561" s="130">
        <v>1</v>
      </c>
      <c r="E561" s="130" t="s">
        <v>754</v>
      </c>
      <c r="F561" s="130">
        <v>1</v>
      </c>
      <c r="G561" s="130">
        <v>1</v>
      </c>
      <c r="H561" s="130">
        <v>1</v>
      </c>
      <c r="I561" s="131">
        <v>777634.20019531203</v>
      </c>
      <c r="J561" s="130" t="s">
        <v>387</v>
      </c>
      <c r="K561" s="130" t="s">
        <v>388</v>
      </c>
      <c r="L561" s="130" t="s">
        <v>30</v>
      </c>
      <c r="M561" s="130" t="s">
        <v>732</v>
      </c>
      <c r="N561" s="130" t="s">
        <v>15</v>
      </c>
      <c r="O561" s="130" t="s">
        <v>11</v>
      </c>
    </row>
    <row r="562" spans="1:15" s="129" customFormat="1" x14ac:dyDescent="0.25">
      <c r="A562" s="130">
        <v>4</v>
      </c>
      <c r="B562" s="130">
        <v>4</v>
      </c>
      <c r="C562" s="130" t="s">
        <v>880</v>
      </c>
      <c r="D562" s="130">
        <v>1</v>
      </c>
      <c r="E562" s="130" t="s">
        <v>754</v>
      </c>
      <c r="F562" s="130">
        <v>1</v>
      </c>
      <c r="G562" s="130">
        <v>1</v>
      </c>
      <c r="H562" s="130">
        <v>1</v>
      </c>
      <c r="I562" s="131">
        <v>11274.848144531201</v>
      </c>
      <c r="J562" s="130" t="s">
        <v>706</v>
      </c>
      <c r="K562" s="130" t="s">
        <v>707</v>
      </c>
      <c r="L562" s="130" t="s">
        <v>30</v>
      </c>
      <c r="M562" s="130" t="s">
        <v>732</v>
      </c>
      <c r="N562" s="130" t="s">
        <v>15</v>
      </c>
      <c r="O562" s="130" t="s">
        <v>11</v>
      </c>
    </row>
    <row r="563" spans="1:15" s="218" customFormat="1" x14ac:dyDescent="0.25">
      <c r="A563" s="265">
        <v>4</v>
      </c>
      <c r="B563" s="265">
        <v>4</v>
      </c>
      <c r="C563" s="265" t="s">
        <v>880</v>
      </c>
      <c r="D563" s="265">
        <v>1</v>
      </c>
      <c r="E563" s="265" t="s">
        <v>754</v>
      </c>
      <c r="F563" s="265">
        <v>1</v>
      </c>
      <c r="G563" s="265">
        <v>1</v>
      </c>
      <c r="H563" s="265">
        <v>1</v>
      </c>
      <c r="I563" s="266">
        <v>288289.88525390602</v>
      </c>
      <c r="J563" s="265" t="s">
        <v>301</v>
      </c>
      <c r="K563" s="265" t="s">
        <v>302</v>
      </c>
      <c r="L563" s="265" t="s">
        <v>14</v>
      </c>
      <c r="M563" s="265" t="s">
        <v>740</v>
      </c>
      <c r="N563" s="265" t="s">
        <v>728</v>
      </c>
      <c r="O563" s="265" t="s">
        <v>11</v>
      </c>
    </row>
    <row r="564" spans="1:15" s="218" customFormat="1" x14ac:dyDescent="0.25">
      <c r="A564" s="265">
        <v>4</v>
      </c>
      <c r="B564" s="265">
        <v>4</v>
      </c>
      <c r="C564" s="265" t="s">
        <v>880</v>
      </c>
      <c r="D564" s="265">
        <v>1</v>
      </c>
      <c r="E564" s="265" t="s">
        <v>754</v>
      </c>
      <c r="F564" s="265">
        <v>1</v>
      </c>
      <c r="G564" s="265">
        <v>1</v>
      </c>
      <c r="H564" s="265">
        <v>1</v>
      </c>
      <c r="I564" s="266">
        <v>491262.92626953102</v>
      </c>
      <c r="J564" s="265" t="s">
        <v>391</v>
      </c>
      <c r="K564" s="265" t="s">
        <v>392</v>
      </c>
      <c r="L564" s="265" t="s">
        <v>14</v>
      </c>
      <c r="M564" s="265" t="s">
        <v>740</v>
      </c>
      <c r="N564" s="265" t="s">
        <v>728</v>
      </c>
      <c r="O564" s="265" t="s">
        <v>741</v>
      </c>
    </row>
    <row r="565" spans="1:15" s="129" customFormat="1" x14ac:dyDescent="0.25">
      <c r="A565" s="130">
        <v>4</v>
      </c>
      <c r="B565" s="130">
        <v>4</v>
      </c>
      <c r="C565" s="130" t="s">
        <v>880</v>
      </c>
      <c r="D565" s="130">
        <v>1</v>
      </c>
      <c r="E565" s="130" t="s">
        <v>754</v>
      </c>
      <c r="F565" s="130">
        <v>1</v>
      </c>
      <c r="G565" s="130">
        <v>1</v>
      </c>
      <c r="H565" s="130">
        <v>1</v>
      </c>
      <c r="I565" s="131">
        <v>1350188.18505859</v>
      </c>
      <c r="J565" s="130" t="s">
        <v>89</v>
      </c>
      <c r="K565" s="130" t="s">
        <v>90</v>
      </c>
      <c r="L565" s="130" t="s">
        <v>14</v>
      </c>
      <c r="M565" s="130" t="s">
        <v>740</v>
      </c>
      <c r="N565" s="130" t="s">
        <v>15</v>
      </c>
      <c r="O565" s="130" t="s">
        <v>11</v>
      </c>
    </row>
    <row r="566" spans="1:15" s="264" customFormat="1" x14ac:dyDescent="0.25">
      <c r="A566" s="262">
        <v>4</v>
      </c>
      <c r="B566" s="262">
        <v>4</v>
      </c>
      <c r="C566" s="262" t="s">
        <v>880</v>
      </c>
      <c r="D566" s="262">
        <v>1</v>
      </c>
      <c r="E566" s="262" t="s">
        <v>754</v>
      </c>
      <c r="F566" s="262">
        <v>1</v>
      </c>
      <c r="G566" s="262">
        <v>1</v>
      </c>
      <c r="H566" s="262">
        <v>1</v>
      </c>
      <c r="I566" s="263">
        <v>690602.76806640602</v>
      </c>
      <c r="J566" s="262" t="s">
        <v>579</v>
      </c>
      <c r="K566" s="262" t="s">
        <v>580</v>
      </c>
      <c r="L566" s="262" t="s">
        <v>14</v>
      </c>
      <c r="M566" s="262" t="s">
        <v>740</v>
      </c>
      <c r="N566" s="262" t="s">
        <v>727</v>
      </c>
      <c r="O566" s="262" t="s">
        <v>741</v>
      </c>
    </row>
    <row r="567" spans="1:15" s="269" customFormat="1" x14ac:dyDescent="0.25">
      <c r="A567" s="267">
        <v>4</v>
      </c>
      <c r="B567" s="267">
        <v>4</v>
      </c>
      <c r="C567" s="267" t="s">
        <v>880</v>
      </c>
      <c r="D567" s="267">
        <v>1</v>
      </c>
      <c r="E567" s="267" t="s">
        <v>754</v>
      </c>
      <c r="F567" s="267">
        <v>1</v>
      </c>
      <c r="G567" s="267">
        <v>1</v>
      </c>
      <c r="H567" s="267">
        <v>1</v>
      </c>
      <c r="I567" s="268">
        <v>1608103.7119140599</v>
      </c>
      <c r="J567" s="267" t="s">
        <v>414</v>
      </c>
      <c r="K567" s="267" t="s">
        <v>415</v>
      </c>
      <c r="L567" s="267" t="s">
        <v>80</v>
      </c>
      <c r="M567" s="267" t="s">
        <v>733</v>
      </c>
      <c r="N567" s="267" t="s">
        <v>729</v>
      </c>
      <c r="O567" s="267" t="s">
        <v>11</v>
      </c>
    </row>
    <row r="568" spans="1:15" s="129" customFormat="1" x14ac:dyDescent="0.25">
      <c r="A568" s="130">
        <v>4</v>
      </c>
      <c r="B568" s="130">
        <v>4</v>
      </c>
      <c r="C568" s="130" t="s">
        <v>880</v>
      </c>
      <c r="D568" s="130">
        <v>1</v>
      </c>
      <c r="E568" s="130" t="s">
        <v>754</v>
      </c>
      <c r="F568" s="130">
        <v>1</v>
      </c>
      <c r="G568" s="130">
        <v>1</v>
      </c>
      <c r="H568" s="130">
        <v>1</v>
      </c>
      <c r="I568" s="131">
        <v>16.123046875</v>
      </c>
      <c r="J568" s="130" t="s">
        <v>253</v>
      </c>
      <c r="K568" s="130" t="s">
        <v>254</v>
      </c>
      <c r="L568" s="130" t="s">
        <v>30</v>
      </c>
      <c r="M568" s="130" t="s">
        <v>732</v>
      </c>
      <c r="N568" s="130" t="s">
        <v>15</v>
      </c>
      <c r="O568" s="130" t="s">
        <v>11</v>
      </c>
    </row>
    <row r="569" spans="1:15" s="218" customFormat="1" x14ac:dyDescent="0.25">
      <c r="A569" s="265">
        <v>4</v>
      </c>
      <c r="B569" s="265">
        <v>4</v>
      </c>
      <c r="C569" s="265" t="s">
        <v>880</v>
      </c>
      <c r="D569" s="265">
        <v>1</v>
      </c>
      <c r="E569" s="265" t="s">
        <v>754</v>
      </c>
      <c r="F569" s="265">
        <v>1</v>
      </c>
      <c r="G569" s="265">
        <v>1</v>
      </c>
      <c r="H569" s="265">
        <v>1</v>
      </c>
      <c r="I569" s="266">
        <v>1056615.5859375</v>
      </c>
      <c r="J569" s="265" t="s">
        <v>40</v>
      </c>
      <c r="K569" s="265" t="s">
        <v>41</v>
      </c>
      <c r="L569" s="265" t="s">
        <v>30</v>
      </c>
      <c r="M569" s="265" t="s">
        <v>732</v>
      </c>
      <c r="N569" s="265" t="s">
        <v>728</v>
      </c>
      <c r="O569" s="265" t="s">
        <v>11</v>
      </c>
    </row>
    <row r="570" spans="1:15" s="269" customFormat="1" x14ac:dyDescent="0.25">
      <c r="A570" s="267">
        <v>4</v>
      </c>
      <c r="B570" s="267">
        <v>4</v>
      </c>
      <c r="C570" s="267" t="s">
        <v>880</v>
      </c>
      <c r="D570" s="267">
        <v>1</v>
      </c>
      <c r="E570" s="267" t="s">
        <v>754</v>
      </c>
      <c r="F570" s="267">
        <v>1</v>
      </c>
      <c r="G570" s="267">
        <v>1</v>
      </c>
      <c r="H570" s="267">
        <v>1</v>
      </c>
      <c r="I570" s="268">
        <v>290.447265625</v>
      </c>
      <c r="J570" s="267" t="s">
        <v>219</v>
      </c>
      <c r="K570" s="267" t="s">
        <v>220</v>
      </c>
      <c r="L570" s="267" t="s">
        <v>80</v>
      </c>
      <c r="M570" s="267" t="s">
        <v>733</v>
      </c>
      <c r="N570" s="267" t="s">
        <v>729</v>
      </c>
      <c r="O570" s="267" t="s">
        <v>11</v>
      </c>
    </row>
    <row r="571" spans="1:15" s="218" customFormat="1" x14ac:dyDescent="0.25">
      <c r="A571" s="265">
        <v>4</v>
      </c>
      <c r="B571" s="265">
        <v>4</v>
      </c>
      <c r="C571" s="265" t="s">
        <v>880</v>
      </c>
      <c r="D571" s="265">
        <v>1</v>
      </c>
      <c r="E571" s="265" t="s">
        <v>754</v>
      </c>
      <c r="F571" s="265">
        <v>1</v>
      </c>
      <c r="G571" s="265">
        <v>1</v>
      </c>
      <c r="H571" s="265">
        <v>1</v>
      </c>
      <c r="I571" s="266">
        <v>2233974.6098632799</v>
      </c>
      <c r="J571" s="265" t="s">
        <v>259</v>
      </c>
      <c r="K571" s="265" t="s">
        <v>260</v>
      </c>
      <c r="L571" s="265" t="s">
        <v>30</v>
      </c>
      <c r="M571" s="265" t="s">
        <v>732</v>
      </c>
      <c r="N571" s="265" t="s">
        <v>728</v>
      </c>
      <c r="O571" s="265" t="s">
        <v>11</v>
      </c>
    </row>
    <row r="572" spans="1:15" s="264" customFormat="1" x14ac:dyDescent="0.25">
      <c r="A572" s="262">
        <v>4</v>
      </c>
      <c r="B572" s="262">
        <v>4</v>
      </c>
      <c r="C572" s="262" t="s">
        <v>880</v>
      </c>
      <c r="D572" s="262">
        <v>1</v>
      </c>
      <c r="E572" s="262" t="s">
        <v>754</v>
      </c>
      <c r="F572" s="262">
        <v>1</v>
      </c>
      <c r="G572" s="262">
        <v>1</v>
      </c>
      <c r="H572" s="262">
        <v>1</v>
      </c>
      <c r="I572" s="263">
        <v>38823.682128906199</v>
      </c>
      <c r="J572" s="262" t="s">
        <v>551</v>
      </c>
      <c r="K572" s="262" t="s">
        <v>552</v>
      </c>
      <c r="L572" s="262" t="s">
        <v>30</v>
      </c>
      <c r="M572" s="262" t="s">
        <v>732</v>
      </c>
      <c r="N572" s="262" t="s">
        <v>727</v>
      </c>
      <c r="O572" s="262" t="s">
        <v>11</v>
      </c>
    </row>
    <row r="573" spans="1:15" s="218" customFormat="1" x14ac:dyDescent="0.25">
      <c r="A573" s="265">
        <v>4</v>
      </c>
      <c r="B573" s="265">
        <v>4</v>
      </c>
      <c r="C573" s="265" t="s">
        <v>880</v>
      </c>
      <c r="D573" s="265">
        <v>1</v>
      </c>
      <c r="E573" s="265" t="s">
        <v>754</v>
      </c>
      <c r="F573" s="265">
        <v>1</v>
      </c>
      <c r="G573" s="265">
        <v>1</v>
      </c>
      <c r="H573" s="265">
        <v>1</v>
      </c>
      <c r="I573" s="266">
        <v>4881.12451171875</v>
      </c>
      <c r="J573" s="265" t="s">
        <v>706</v>
      </c>
      <c r="K573" s="265" t="s">
        <v>707</v>
      </c>
      <c r="L573" s="265" t="s">
        <v>30</v>
      </c>
      <c r="M573" s="265" t="s">
        <v>732</v>
      </c>
      <c r="N573" s="265" t="s">
        <v>728</v>
      </c>
      <c r="O573" s="265" t="s">
        <v>11</v>
      </c>
    </row>
    <row r="574" spans="1:15" s="28" customFormat="1" x14ac:dyDescent="0.25">
      <c r="A574" s="86">
        <v>4</v>
      </c>
      <c r="B574" s="86">
        <v>4</v>
      </c>
      <c r="C574" s="86" t="s">
        <v>880</v>
      </c>
      <c r="D574" s="86">
        <v>1</v>
      </c>
      <c r="E574" s="86" t="s">
        <v>754</v>
      </c>
      <c r="F574" s="86">
        <v>1</v>
      </c>
      <c r="G574" s="86">
        <v>1</v>
      </c>
      <c r="H574" s="86">
        <v>1</v>
      </c>
      <c r="I574" s="87">
        <v>60415.837890625</v>
      </c>
      <c r="J574" s="86" t="s">
        <v>714</v>
      </c>
      <c r="K574" s="86" t="s">
        <v>715</v>
      </c>
      <c r="L574" s="86" t="s">
        <v>14</v>
      </c>
      <c r="M574" s="86" t="s">
        <v>740</v>
      </c>
      <c r="N574" s="86" t="s">
        <v>726</v>
      </c>
      <c r="O574" s="86" t="s">
        <v>35</v>
      </c>
    </row>
    <row r="575" spans="1:15" s="28" customFormat="1" x14ac:dyDescent="0.25">
      <c r="A575" s="86">
        <v>4</v>
      </c>
      <c r="B575" s="86">
        <v>4</v>
      </c>
      <c r="C575" s="86" t="s">
        <v>880</v>
      </c>
      <c r="D575" s="86">
        <v>1</v>
      </c>
      <c r="E575" s="86" t="s">
        <v>754</v>
      </c>
      <c r="F575" s="86">
        <v>1</v>
      </c>
      <c r="G575" s="86">
        <v>1</v>
      </c>
      <c r="H575" s="86">
        <v>1</v>
      </c>
      <c r="I575" s="87">
        <v>218743.06982421799</v>
      </c>
      <c r="J575" s="86" t="s">
        <v>716</v>
      </c>
      <c r="K575" s="86" t="s">
        <v>717</v>
      </c>
      <c r="L575" s="86" t="s">
        <v>30</v>
      </c>
      <c r="M575" s="86" t="s">
        <v>732</v>
      </c>
      <c r="N575" s="86" t="s">
        <v>726</v>
      </c>
      <c r="O575" s="86" t="s">
        <v>35</v>
      </c>
    </row>
    <row r="576" spans="1:15" s="264" customFormat="1" x14ac:dyDescent="0.25">
      <c r="A576" s="262">
        <v>4</v>
      </c>
      <c r="B576" s="262">
        <v>4</v>
      </c>
      <c r="C576" s="262" t="s">
        <v>880</v>
      </c>
      <c r="D576" s="262">
        <v>1</v>
      </c>
      <c r="E576" s="262" t="s">
        <v>754</v>
      </c>
      <c r="F576" s="262">
        <v>1</v>
      </c>
      <c r="G576" s="262">
        <v>1</v>
      </c>
      <c r="H576" s="262">
        <v>1</v>
      </c>
      <c r="I576" s="263">
        <v>301720.57763671799</v>
      </c>
      <c r="J576" s="262" t="s">
        <v>171</v>
      </c>
      <c r="K576" s="262" t="s">
        <v>172</v>
      </c>
      <c r="L576" s="262" t="s">
        <v>30</v>
      </c>
      <c r="M576" s="262" t="s">
        <v>732</v>
      </c>
      <c r="N576" s="262" t="s">
        <v>727</v>
      </c>
      <c r="O576" s="262" t="s">
        <v>11</v>
      </c>
    </row>
    <row r="577" spans="1:15" s="129" customFormat="1" x14ac:dyDescent="0.25">
      <c r="A577" s="130">
        <v>4</v>
      </c>
      <c r="B577" s="130">
        <v>4</v>
      </c>
      <c r="C577" s="130" t="s">
        <v>880</v>
      </c>
      <c r="D577" s="130">
        <v>1</v>
      </c>
      <c r="E577" s="130" t="s">
        <v>754</v>
      </c>
      <c r="F577" s="130">
        <v>1</v>
      </c>
      <c r="G577" s="130">
        <v>1</v>
      </c>
      <c r="H577" s="130">
        <v>1</v>
      </c>
      <c r="I577" s="131">
        <v>520798.01953125</v>
      </c>
      <c r="J577" s="130" t="s">
        <v>285</v>
      </c>
      <c r="K577" s="130" t="s">
        <v>286</v>
      </c>
      <c r="L577" s="130" t="s">
        <v>14</v>
      </c>
      <c r="M577" s="130" t="s">
        <v>740</v>
      </c>
      <c r="N577" s="130" t="s">
        <v>15</v>
      </c>
      <c r="O577" s="130" t="s">
        <v>11</v>
      </c>
    </row>
    <row r="578" spans="1:15" s="218" customFormat="1" x14ac:dyDescent="0.25">
      <c r="A578" s="265">
        <v>4</v>
      </c>
      <c r="B578" s="265">
        <v>4</v>
      </c>
      <c r="C578" s="265" t="s">
        <v>880</v>
      </c>
      <c r="D578" s="265">
        <v>1</v>
      </c>
      <c r="E578" s="265" t="s">
        <v>754</v>
      </c>
      <c r="F578" s="265">
        <v>1</v>
      </c>
      <c r="G578" s="265">
        <v>1</v>
      </c>
      <c r="H578" s="265">
        <v>1</v>
      </c>
      <c r="I578" s="266">
        <v>52235.8759765625</v>
      </c>
      <c r="J578" s="265" t="s">
        <v>383</v>
      </c>
      <c r="K578" s="265" t="s">
        <v>384</v>
      </c>
      <c r="L578" s="265" t="s">
        <v>189</v>
      </c>
      <c r="M578" s="265" t="s">
        <v>190</v>
      </c>
      <c r="N578" s="265" t="s">
        <v>728</v>
      </c>
      <c r="O578" s="265" t="s">
        <v>11</v>
      </c>
    </row>
    <row r="579" spans="1:15" s="218" customFormat="1" x14ac:dyDescent="0.25">
      <c r="A579" s="265">
        <v>4</v>
      </c>
      <c r="B579" s="265">
        <v>4</v>
      </c>
      <c r="C579" s="265" t="s">
        <v>880</v>
      </c>
      <c r="D579" s="265">
        <v>1</v>
      </c>
      <c r="E579" s="265" t="s">
        <v>754</v>
      </c>
      <c r="F579" s="265">
        <v>1</v>
      </c>
      <c r="G579" s="265">
        <v>1</v>
      </c>
      <c r="H579" s="265">
        <v>1</v>
      </c>
      <c r="I579" s="266">
        <v>389081.42919921799</v>
      </c>
      <c r="J579" s="265" t="s">
        <v>349</v>
      </c>
      <c r="K579" s="265" t="s">
        <v>350</v>
      </c>
      <c r="L579" s="265" t="s">
        <v>30</v>
      </c>
      <c r="M579" s="265" t="s">
        <v>732</v>
      </c>
      <c r="N579" s="265" t="s">
        <v>728</v>
      </c>
      <c r="O579" s="265" t="s">
        <v>11</v>
      </c>
    </row>
    <row r="580" spans="1:15" s="264" customFormat="1" x14ac:dyDescent="0.25">
      <c r="A580" s="262">
        <v>4</v>
      </c>
      <c r="B580" s="262">
        <v>4</v>
      </c>
      <c r="C580" s="262" t="s">
        <v>880</v>
      </c>
      <c r="D580" s="262">
        <v>1</v>
      </c>
      <c r="E580" s="262" t="s">
        <v>754</v>
      </c>
      <c r="F580" s="262">
        <v>1</v>
      </c>
      <c r="G580" s="262">
        <v>1</v>
      </c>
      <c r="H580" s="262">
        <v>1</v>
      </c>
      <c r="I580" s="263">
        <v>92761.891113281206</v>
      </c>
      <c r="J580" s="262" t="s">
        <v>301</v>
      </c>
      <c r="K580" s="262" t="s">
        <v>302</v>
      </c>
      <c r="L580" s="262" t="s">
        <v>14</v>
      </c>
      <c r="M580" s="262" t="s">
        <v>740</v>
      </c>
      <c r="N580" s="262" t="s">
        <v>727</v>
      </c>
      <c r="O580" s="262" t="s">
        <v>11</v>
      </c>
    </row>
    <row r="581" spans="1:15" s="129" customFormat="1" x14ac:dyDescent="0.25">
      <c r="A581" s="130">
        <v>4</v>
      </c>
      <c r="B581" s="130">
        <v>4</v>
      </c>
      <c r="C581" s="130" t="s">
        <v>880</v>
      </c>
      <c r="D581" s="130">
        <v>1</v>
      </c>
      <c r="E581" s="130" t="s">
        <v>754</v>
      </c>
      <c r="F581" s="130">
        <v>1</v>
      </c>
      <c r="G581" s="130">
        <v>1</v>
      </c>
      <c r="H581" s="130">
        <v>1</v>
      </c>
      <c r="I581" s="131">
        <v>1023312.53808593</v>
      </c>
      <c r="J581" s="130" t="s">
        <v>120</v>
      </c>
      <c r="K581" s="130" t="s">
        <v>121</v>
      </c>
      <c r="L581" s="130" t="s">
        <v>30</v>
      </c>
      <c r="M581" s="130" t="s">
        <v>732</v>
      </c>
      <c r="N581" s="130" t="s">
        <v>15</v>
      </c>
      <c r="O581" s="130" t="s">
        <v>11</v>
      </c>
    </row>
    <row r="582" spans="1:15" s="264" customFormat="1" x14ac:dyDescent="0.25">
      <c r="A582" s="262">
        <v>4</v>
      </c>
      <c r="B582" s="262">
        <v>4</v>
      </c>
      <c r="C582" s="262" t="s">
        <v>880</v>
      </c>
      <c r="D582" s="262">
        <v>1</v>
      </c>
      <c r="E582" s="262" t="s">
        <v>754</v>
      </c>
      <c r="F582" s="262">
        <v>1</v>
      </c>
      <c r="G582" s="262">
        <v>1</v>
      </c>
      <c r="H582" s="262">
        <v>1</v>
      </c>
      <c r="I582" s="263">
        <v>2137.1455078125</v>
      </c>
      <c r="J582" s="262" t="s">
        <v>28</v>
      </c>
      <c r="K582" s="262" t="s">
        <v>29</v>
      </c>
      <c r="L582" s="262" t="s">
        <v>30</v>
      </c>
      <c r="M582" s="262" t="s">
        <v>732</v>
      </c>
      <c r="N582" s="262" t="s">
        <v>727</v>
      </c>
      <c r="O582" s="262" t="s">
        <v>11</v>
      </c>
    </row>
    <row r="583" spans="1:15" s="264" customFormat="1" x14ac:dyDescent="0.25">
      <c r="A583" s="262">
        <v>4</v>
      </c>
      <c r="B583" s="262">
        <v>4</v>
      </c>
      <c r="C583" s="262" t="s">
        <v>880</v>
      </c>
      <c r="D583" s="262">
        <v>1</v>
      </c>
      <c r="E583" s="262" t="s">
        <v>754</v>
      </c>
      <c r="F583" s="262">
        <v>1</v>
      </c>
      <c r="G583" s="262">
        <v>1</v>
      </c>
      <c r="H583" s="262">
        <v>1</v>
      </c>
      <c r="I583" s="263">
        <v>34873.909667968699</v>
      </c>
      <c r="J583" s="262" t="s">
        <v>547</v>
      </c>
      <c r="K583" s="262" t="s">
        <v>548</v>
      </c>
      <c r="L583" s="262" t="s">
        <v>14</v>
      </c>
      <c r="M583" s="262" t="s">
        <v>740</v>
      </c>
      <c r="N583" s="262" t="s">
        <v>727</v>
      </c>
      <c r="O583" s="262" t="s">
        <v>11</v>
      </c>
    </row>
    <row r="584" spans="1:15" s="218" customFormat="1" x14ac:dyDescent="0.25">
      <c r="A584" s="265">
        <v>4</v>
      </c>
      <c r="B584" s="265">
        <v>4</v>
      </c>
      <c r="C584" s="265" t="s">
        <v>880</v>
      </c>
      <c r="D584" s="265">
        <v>1</v>
      </c>
      <c r="E584" s="265" t="s">
        <v>754</v>
      </c>
      <c r="F584" s="265">
        <v>1</v>
      </c>
      <c r="G584" s="265">
        <v>1</v>
      </c>
      <c r="H584" s="265">
        <v>1</v>
      </c>
      <c r="I584" s="266">
        <v>43093.478027343699</v>
      </c>
      <c r="J584" s="265" t="s">
        <v>682</v>
      </c>
      <c r="K584" s="265" t="s">
        <v>683</v>
      </c>
      <c r="L584" s="265" t="s">
        <v>30</v>
      </c>
      <c r="M584" s="265" t="s">
        <v>732</v>
      </c>
      <c r="N584" s="265" t="s">
        <v>728</v>
      </c>
      <c r="O584" s="265" t="s">
        <v>11</v>
      </c>
    </row>
    <row r="585" spans="1:15" s="264" customFormat="1" x14ac:dyDescent="0.25">
      <c r="A585" s="262">
        <v>4</v>
      </c>
      <c r="B585" s="262">
        <v>4</v>
      </c>
      <c r="C585" s="262" t="s">
        <v>880</v>
      </c>
      <c r="D585" s="262">
        <v>1</v>
      </c>
      <c r="E585" s="262" t="s">
        <v>754</v>
      </c>
      <c r="F585" s="262">
        <v>1</v>
      </c>
      <c r="G585" s="262">
        <v>1</v>
      </c>
      <c r="H585" s="262">
        <v>1</v>
      </c>
      <c r="I585" s="263">
        <v>3357.12060546875</v>
      </c>
      <c r="J585" s="262" t="s">
        <v>529</v>
      </c>
      <c r="K585" s="262" t="s">
        <v>530</v>
      </c>
      <c r="L585" s="262" t="s">
        <v>80</v>
      </c>
      <c r="M585" s="262" t="s">
        <v>733</v>
      </c>
      <c r="N585" s="262" t="s">
        <v>727</v>
      </c>
      <c r="O585" s="262" t="s">
        <v>11</v>
      </c>
    </row>
    <row r="586" spans="1:15" s="218" customFormat="1" x14ac:dyDescent="0.25">
      <c r="A586" s="265">
        <v>4</v>
      </c>
      <c r="B586" s="265">
        <v>4</v>
      </c>
      <c r="C586" s="265" t="s">
        <v>880</v>
      </c>
      <c r="D586" s="265">
        <v>1</v>
      </c>
      <c r="E586" s="265" t="s">
        <v>754</v>
      </c>
      <c r="F586" s="265">
        <v>1</v>
      </c>
      <c r="G586" s="265">
        <v>1</v>
      </c>
      <c r="H586" s="265">
        <v>1</v>
      </c>
      <c r="I586" s="266">
        <v>106633.59375</v>
      </c>
      <c r="J586" s="265" t="s">
        <v>653</v>
      </c>
      <c r="K586" s="265" t="s">
        <v>654</v>
      </c>
      <c r="L586" s="265" t="s">
        <v>27</v>
      </c>
      <c r="M586" s="265" t="s">
        <v>738</v>
      </c>
      <c r="N586" s="265" t="s">
        <v>728</v>
      </c>
      <c r="O586" s="265" t="s">
        <v>11</v>
      </c>
    </row>
    <row r="587" spans="1:15" s="129" customFormat="1" x14ac:dyDescent="0.25">
      <c r="A587" s="130">
        <v>4</v>
      </c>
      <c r="B587" s="130">
        <v>4</v>
      </c>
      <c r="C587" s="130" t="s">
        <v>880</v>
      </c>
      <c r="D587" s="130">
        <v>1</v>
      </c>
      <c r="E587" s="130" t="s">
        <v>754</v>
      </c>
      <c r="F587" s="130">
        <v>1</v>
      </c>
      <c r="G587" s="130">
        <v>1</v>
      </c>
      <c r="H587" s="130">
        <v>1</v>
      </c>
      <c r="I587" s="131">
        <v>843992.16357421805</v>
      </c>
      <c r="J587" s="130" t="s">
        <v>108</v>
      </c>
      <c r="K587" s="130" t="s">
        <v>109</v>
      </c>
      <c r="L587" s="130" t="s">
        <v>18</v>
      </c>
      <c r="M587" s="130" t="s">
        <v>19</v>
      </c>
      <c r="N587" s="130" t="s">
        <v>15</v>
      </c>
      <c r="O587" s="130" t="s">
        <v>11</v>
      </c>
    </row>
    <row r="588" spans="1:15" s="129" customFormat="1" x14ac:dyDescent="0.25">
      <c r="A588" s="130">
        <v>4</v>
      </c>
      <c r="B588" s="130">
        <v>4</v>
      </c>
      <c r="C588" s="130" t="s">
        <v>880</v>
      </c>
      <c r="D588" s="130">
        <v>1</v>
      </c>
      <c r="E588" s="130" t="s">
        <v>754</v>
      </c>
      <c r="F588" s="130">
        <v>1</v>
      </c>
      <c r="G588" s="130">
        <v>1</v>
      </c>
      <c r="H588" s="130">
        <v>1</v>
      </c>
      <c r="I588" s="131">
        <v>447346.275390625</v>
      </c>
      <c r="J588" s="130" t="s">
        <v>692</v>
      </c>
      <c r="K588" s="130" t="s">
        <v>693</v>
      </c>
      <c r="L588" s="130" t="s">
        <v>30</v>
      </c>
      <c r="M588" s="130" t="s">
        <v>732</v>
      </c>
      <c r="N588" s="130" t="s">
        <v>15</v>
      </c>
      <c r="O588" s="130" t="s">
        <v>11</v>
      </c>
    </row>
    <row r="589" spans="1:15" s="264" customFormat="1" x14ac:dyDescent="0.25">
      <c r="A589" s="262">
        <v>4</v>
      </c>
      <c r="B589" s="262">
        <v>4</v>
      </c>
      <c r="C589" s="262" t="s">
        <v>880</v>
      </c>
      <c r="D589" s="262">
        <v>1</v>
      </c>
      <c r="E589" s="262" t="s">
        <v>754</v>
      </c>
      <c r="F589" s="262">
        <v>1</v>
      </c>
      <c r="G589" s="262">
        <v>1</v>
      </c>
      <c r="H589" s="262">
        <v>1</v>
      </c>
      <c r="I589" s="263">
        <v>3483.123046875</v>
      </c>
      <c r="J589" s="262" t="s">
        <v>329</v>
      </c>
      <c r="K589" s="262" t="s">
        <v>330</v>
      </c>
      <c r="L589" s="262" t="s">
        <v>30</v>
      </c>
      <c r="M589" s="262" t="s">
        <v>732</v>
      </c>
      <c r="N589" s="262" t="s">
        <v>727</v>
      </c>
      <c r="O589" s="262" t="s">
        <v>11</v>
      </c>
    </row>
    <row r="590" spans="1:15" s="129" customFormat="1" x14ac:dyDescent="0.25">
      <c r="A590" s="130">
        <v>4</v>
      </c>
      <c r="B590" s="130">
        <v>4</v>
      </c>
      <c r="C590" s="130" t="s">
        <v>880</v>
      </c>
      <c r="D590" s="130">
        <v>1</v>
      </c>
      <c r="E590" s="130" t="s">
        <v>754</v>
      </c>
      <c r="F590" s="130">
        <v>1</v>
      </c>
      <c r="G590" s="130">
        <v>1</v>
      </c>
      <c r="H590" s="130">
        <v>1</v>
      </c>
      <c r="I590" s="131">
        <v>30918.641113281199</v>
      </c>
      <c r="J590" s="130" t="s">
        <v>299</v>
      </c>
      <c r="K590" s="130" t="s">
        <v>300</v>
      </c>
      <c r="L590" s="130" t="s">
        <v>80</v>
      </c>
      <c r="M590" s="130" t="s">
        <v>733</v>
      </c>
      <c r="N590" s="130" t="s">
        <v>15</v>
      </c>
      <c r="O590" s="130" t="s">
        <v>11</v>
      </c>
    </row>
    <row r="591" spans="1:15" s="264" customFormat="1" x14ac:dyDescent="0.25">
      <c r="A591" s="262">
        <v>4</v>
      </c>
      <c r="B591" s="262">
        <v>4</v>
      </c>
      <c r="C591" s="262" t="s">
        <v>880</v>
      </c>
      <c r="D591" s="262">
        <v>1</v>
      </c>
      <c r="E591" s="262" t="s">
        <v>754</v>
      </c>
      <c r="F591" s="262">
        <v>1</v>
      </c>
      <c r="G591" s="262">
        <v>1</v>
      </c>
      <c r="H591" s="262">
        <v>1</v>
      </c>
      <c r="I591" s="263">
        <v>10193.191894531201</v>
      </c>
      <c r="J591" s="262" t="s">
        <v>424</v>
      </c>
      <c r="K591" s="262" t="s">
        <v>425</v>
      </c>
      <c r="L591" s="262" t="s">
        <v>30</v>
      </c>
      <c r="M591" s="262" t="s">
        <v>732</v>
      </c>
      <c r="N591" s="262" t="s">
        <v>727</v>
      </c>
      <c r="O591" s="262" t="s">
        <v>11</v>
      </c>
    </row>
    <row r="592" spans="1:15" s="28" customFormat="1" x14ac:dyDescent="0.25">
      <c r="A592" s="86">
        <v>4</v>
      </c>
      <c r="B592" s="86">
        <v>4</v>
      </c>
      <c r="C592" s="86" t="s">
        <v>880</v>
      </c>
      <c r="D592" s="86">
        <v>1</v>
      </c>
      <c r="E592" s="86" t="s">
        <v>754</v>
      </c>
      <c r="F592" s="86">
        <v>1</v>
      </c>
      <c r="G592" s="86">
        <v>1</v>
      </c>
      <c r="H592" s="86">
        <v>1</v>
      </c>
      <c r="I592" s="87">
        <v>424573.62451171799</v>
      </c>
      <c r="J592" s="86" t="s">
        <v>722</v>
      </c>
      <c r="K592" s="86" t="s">
        <v>723</v>
      </c>
      <c r="L592" s="86" t="s">
        <v>30</v>
      </c>
      <c r="M592" s="86" t="s">
        <v>732</v>
      </c>
      <c r="N592" s="86" t="s">
        <v>726</v>
      </c>
      <c r="O592" s="86" t="s">
        <v>35</v>
      </c>
    </row>
    <row r="593" spans="1:15" s="218" customFormat="1" x14ac:dyDescent="0.25">
      <c r="A593" s="265">
        <v>4</v>
      </c>
      <c r="B593" s="265">
        <v>4</v>
      </c>
      <c r="C593" s="265" t="s">
        <v>880</v>
      </c>
      <c r="D593" s="265">
        <v>1</v>
      </c>
      <c r="E593" s="265" t="s">
        <v>754</v>
      </c>
      <c r="F593" s="265">
        <v>1</v>
      </c>
      <c r="G593" s="265">
        <v>1</v>
      </c>
      <c r="H593" s="265">
        <v>1</v>
      </c>
      <c r="I593" s="266">
        <v>160973.31542968701</v>
      </c>
      <c r="J593" s="265" t="s">
        <v>95</v>
      </c>
      <c r="K593" s="265" t="s">
        <v>96</v>
      </c>
      <c r="L593" s="265" t="s">
        <v>30</v>
      </c>
      <c r="M593" s="265" t="s">
        <v>732</v>
      </c>
      <c r="N593" s="265" t="s">
        <v>728</v>
      </c>
      <c r="O593" s="265" t="s">
        <v>11</v>
      </c>
    </row>
    <row r="594" spans="1:15" s="218" customFormat="1" x14ac:dyDescent="0.25">
      <c r="A594" s="265">
        <v>4</v>
      </c>
      <c r="B594" s="265">
        <v>4</v>
      </c>
      <c r="C594" s="265" t="s">
        <v>880</v>
      </c>
      <c r="D594" s="265">
        <v>1</v>
      </c>
      <c r="E594" s="265" t="s">
        <v>754</v>
      </c>
      <c r="F594" s="265">
        <v>1</v>
      </c>
      <c r="G594" s="265">
        <v>1</v>
      </c>
      <c r="H594" s="265">
        <v>1</v>
      </c>
      <c r="I594" s="266">
        <v>212192.29833984299</v>
      </c>
      <c r="J594" s="265" t="s">
        <v>694</v>
      </c>
      <c r="K594" s="265" t="s">
        <v>695</v>
      </c>
      <c r="L594" s="265" t="s">
        <v>30</v>
      </c>
      <c r="M594" s="265" t="s">
        <v>732</v>
      </c>
      <c r="N594" s="265" t="s">
        <v>728</v>
      </c>
      <c r="O594" s="265" t="s">
        <v>11</v>
      </c>
    </row>
    <row r="595" spans="1:15" s="218" customFormat="1" x14ac:dyDescent="0.25">
      <c r="A595" s="265">
        <v>4</v>
      </c>
      <c r="B595" s="265">
        <v>4</v>
      </c>
      <c r="C595" s="265" t="s">
        <v>880</v>
      </c>
      <c r="D595" s="265">
        <v>1</v>
      </c>
      <c r="E595" s="265" t="s">
        <v>754</v>
      </c>
      <c r="F595" s="265">
        <v>1</v>
      </c>
      <c r="G595" s="265">
        <v>1</v>
      </c>
      <c r="H595" s="265">
        <v>1</v>
      </c>
      <c r="I595" s="266">
        <v>323690.283203125</v>
      </c>
      <c r="J595" s="265" t="s">
        <v>335</v>
      </c>
      <c r="K595" s="265" t="s">
        <v>336</v>
      </c>
      <c r="L595" s="265" t="s">
        <v>80</v>
      </c>
      <c r="M595" s="265" t="s">
        <v>733</v>
      </c>
      <c r="N595" s="265" t="s">
        <v>728</v>
      </c>
      <c r="O595" s="265" t="s">
        <v>11</v>
      </c>
    </row>
    <row r="596" spans="1:15" s="129" customFormat="1" x14ac:dyDescent="0.25">
      <c r="A596" s="130">
        <v>5</v>
      </c>
      <c r="B596" s="130">
        <v>5</v>
      </c>
      <c r="C596" s="130" t="s">
        <v>1129</v>
      </c>
      <c r="D596" s="130">
        <v>3</v>
      </c>
      <c r="E596" s="130" t="s">
        <v>767</v>
      </c>
      <c r="F596" s="130">
        <v>0</v>
      </c>
      <c r="G596" s="130">
        <v>0</v>
      </c>
      <c r="H596" s="130">
        <v>0</v>
      </c>
      <c r="I596" s="131">
        <v>3790509.4907226502</v>
      </c>
      <c r="J596" s="130" t="s">
        <v>130</v>
      </c>
      <c r="K596" s="130" t="s">
        <v>131</v>
      </c>
      <c r="L596" s="130" t="s">
        <v>63</v>
      </c>
      <c r="M596" s="130" t="s">
        <v>64</v>
      </c>
      <c r="N596" s="130" t="s">
        <v>15</v>
      </c>
      <c r="O596" s="130" t="s">
        <v>77</v>
      </c>
    </row>
    <row r="597" spans="1:15" s="28" customFormat="1" x14ac:dyDescent="0.25">
      <c r="A597" s="86">
        <v>5</v>
      </c>
      <c r="B597" s="86">
        <v>5</v>
      </c>
      <c r="C597" s="86" t="s">
        <v>1129</v>
      </c>
      <c r="D597" s="86">
        <v>3</v>
      </c>
      <c r="E597" s="86" t="s">
        <v>767</v>
      </c>
      <c r="F597" s="86">
        <v>0</v>
      </c>
      <c r="G597" s="86">
        <v>0</v>
      </c>
      <c r="H597" s="86">
        <v>0</v>
      </c>
      <c r="I597" s="87">
        <v>235816.61621093701</v>
      </c>
      <c r="J597" s="86" t="s">
        <v>143</v>
      </c>
      <c r="K597" s="86" t="s">
        <v>144</v>
      </c>
      <c r="L597" s="86" t="s">
        <v>63</v>
      </c>
      <c r="M597" s="86" t="s">
        <v>64</v>
      </c>
      <c r="N597" s="86" t="s">
        <v>726</v>
      </c>
      <c r="O597" s="86" t="s">
        <v>35</v>
      </c>
    </row>
    <row r="598" spans="1:15" s="264" customFormat="1" x14ac:dyDescent="0.25">
      <c r="A598" s="262">
        <v>5</v>
      </c>
      <c r="B598" s="262">
        <v>5</v>
      </c>
      <c r="C598" s="262" t="s">
        <v>1129</v>
      </c>
      <c r="D598" s="262">
        <v>3</v>
      </c>
      <c r="E598" s="262" t="s">
        <v>767</v>
      </c>
      <c r="F598" s="262">
        <v>0</v>
      </c>
      <c r="G598" s="262">
        <v>0</v>
      </c>
      <c r="H598" s="262">
        <v>0</v>
      </c>
      <c r="I598" s="263">
        <v>106058.45263671799</v>
      </c>
      <c r="J598" s="262" t="s">
        <v>237</v>
      </c>
      <c r="K598" s="262" t="s">
        <v>238</v>
      </c>
      <c r="L598" s="262" t="s">
        <v>63</v>
      </c>
      <c r="M598" s="262" t="s">
        <v>64</v>
      </c>
      <c r="N598" s="262" t="s">
        <v>727</v>
      </c>
      <c r="O598" s="262" t="s">
        <v>77</v>
      </c>
    </row>
    <row r="599" spans="1:15" s="129" customFormat="1" x14ac:dyDescent="0.25">
      <c r="A599" s="130">
        <v>5</v>
      </c>
      <c r="B599" s="130">
        <v>5</v>
      </c>
      <c r="C599" s="130" t="s">
        <v>1129</v>
      </c>
      <c r="D599" s="130">
        <v>3</v>
      </c>
      <c r="E599" s="130" t="s">
        <v>767</v>
      </c>
      <c r="F599" s="130">
        <v>0</v>
      </c>
      <c r="G599" s="130">
        <v>0</v>
      </c>
      <c r="H599" s="130">
        <v>0</v>
      </c>
      <c r="I599" s="131">
        <v>989.37548828125</v>
      </c>
      <c r="J599" s="130" t="s">
        <v>237</v>
      </c>
      <c r="K599" s="130" t="s">
        <v>238</v>
      </c>
      <c r="L599" s="130" t="s">
        <v>63</v>
      </c>
      <c r="M599" s="130" t="s">
        <v>64</v>
      </c>
      <c r="N599" s="130" t="s">
        <v>15</v>
      </c>
      <c r="O599" s="130" t="s">
        <v>77</v>
      </c>
    </row>
    <row r="600" spans="1:15" s="218" customFormat="1" x14ac:dyDescent="0.25">
      <c r="A600" s="265">
        <v>5</v>
      </c>
      <c r="B600" s="265">
        <v>5</v>
      </c>
      <c r="C600" s="265" t="s">
        <v>1129</v>
      </c>
      <c r="D600" s="265">
        <v>3</v>
      </c>
      <c r="E600" s="265" t="s">
        <v>767</v>
      </c>
      <c r="F600" s="265">
        <v>0</v>
      </c>
      <c r="G600" s="265">
        <v>0</v>
      </c>
      <c r="H600" s="265">
        <v>0</v>
      </c>
      <c r="I600" s="266">
        <v>212724.31542968701</v>
      </c>
      <c r="J600" s="265" t="s">
        <v>275</v>
      </c>
      <c r="K600" s="265" t="s">
        <v>276</v>
      </c>
      <c r="L600" s="265" t="s">
        <v>63</v>
      </c>
      <c r="M600" s="265" t="s">
        <v>64</v>
      </c>
      <c r="N600" s="265" t="s">
        <v>728</v>
      </c>
      <c r="O600" s="265" t="s">
        <v>11</v>
      </c>
    </row>
    <row r="601" spans="1:15" s="264" customFormat="1" x14ac:dyDescent="0.25">
      <c r="A601" s="262">
        <v>5</v>
      </c>
      <c r="B601" s="262">
        <v>5</v>
      </c>
      <c r="C601" s="262" t="s">
        <v>1129</v>
      </c>
      <c r="D601" s="262">
        <v>3</v>
      </c>
      <c r="E601" s="262" t="s">
        <v>767</v>
      </c>
      <c r="F601" s="262">
        <v>0</v>
      </c>
      <c r="G601" s="262">
        <v>0</v>
      </c>
      <c r="H601" s="262">
        <v>0</v>
      </c>
      <c r="I601" s="263">
        <v>438.4462890625</v>
      </c>
      <c r="J601" s="262" t="s">
        <v>295</v>
      </c>
      <c r="K601" s="262" t="s">
        <v>296</v>
      </c>
      <c r="L601" s="262" t="s">
        <v>63</v>
      </c>
      <c r="M601" s="262" t="s">
        <v>64</v>
      </c>
      <c r="N601" s="262" t="s">
        <v>727</v>
      </c>
      <c r="O601" s="262" t="s">
        <v>77</v>
      </c>
    </row>
    <row r="602" spans="1:15" s="264" customFormat="1" x14ac:dyDescent="0.25">
      <c r="A602" s="262">
        <v>5</v>
      </c>
      <c r="B602" s="262">
        <v>5</v>
      </c>
      <c r="C602" s="262" t="s">
        <v>1129</v>
      </c>
      <c r="D602" s="262">
        <v>3</v>
      </c>
      <c r="E602" s="262" t="s">
        <v>767</v>
      </c>
      <c r="F602" s="262">
        <v>0</v>
      </c>
      <c r="G602" s="262">
        <v>0</v>
      </c>
      <c r="H602" s="262">
        <v>0</v>
      </c>
      <c r="I602" s="263">
        <v>0.302734375</v>
      </c>
      <c r="J602" s="262" t="s">
        <v>275</v>
      </c>
      <c r="K602" s="262" t="s">
        <v>276</v>
      </c>
      <c r="L602" s="262" t="s">
        <v>63</v>
      </c>
      <c r="M602" s="262" t="s">
        <v>64</v>
      </c>
      <c r="N602" s="262" t="s">
        <v>727</v>
      </c>
      <c r="O602" s="262" t="s">
        <v>11</v>
      </c>
    </row>
    <row r="603" spans="1:15" s="28" customFormat="1" x14ac:dyDescent="0.25">
      <c r="A603" s="86">
        <v>5</v>
      </c>
      <c r="B603" s="86">
        <v>5</v>
      </c>
      <c r="C603" s="86" t="s">
        <v>1129</v>
      </c>
      <c r="D603" s="86">
        <v>3</v>
      </c>
      <c r="E603" s="86" t="s">
        <v>767</v>
      </c>
      <c r="F603" s="86">
        <v>0</v>
      </c>
      <c r="G603" s="86">
        <v>0</v>
      </c>
      <c r="H603" s="86">
        <v>0</v>
      </c>
      <c r="I603" s="87">
        <v>42849.521484375</v>
      </c>
      <c r="J603" s="86" t="s">
        <v>295</v>
      </c>
      <c r="K603" s="86" t="s">
        <v>296</v>
      </c>
      <c r="L603" s="86" t="s">
        <v>63</v>
      </c>
      <c r="M603" s="86" t="s">
        <v>64</v>
      </c>
      <c r="N603" s="86" t="s">
        <v>726</v>
      </c>
      <c r="O603" s="86" t="s">
        <v>105</v>
      </c>
    </row>
    <row r="604" spans="1:15" s="129" customFormat="1" x14ac:dyDescent="0.25">
      <c r="A604" s="130">
        <v>5</v>
      </c>
      <c r="B604" s="130">
        <v>5</v>
      </c>
      <c r="C604" s="130" t="s">
        <v>1129</v>
      </c>
      <c r="D604" s="130">
        <v>3</v>
      </c>
      <c r="E604" s="130" t="s">
        <v>767</v>
      </c>
      <c r="F604" s="130">
        <v>0</v>
      </c>
      <c r="G604" s="130">
        <v>0</v>
      </c>
      <c r="H604" s="130">
        <v>0</v>
      </c>
      <c r="I604" s="131">
        <v>10201.4013671875</v>
      </c>
      <c r="J604" s="130" t="s">
        <v>458</v>
      </c>
      <c r="K604" s="130" t="s">
        <v>459</v>
      </c>
      <c r="L604" s="130" t="s">
        <v>63</v>
      </c>
      <c r="M604" s="130" t="s">
        <v>64</v>
      </c>
      <c r="N604" s="130" t="s">
        <v>15</v>
      </c>
      <c r="O604" s="130" t="s">
        <v>77</v>
      </c>
    </row>
    <row r="605" spans="1:15" s="129" customFormat="1" x14ac:dyDescent="0.25">
      <c r="A605" s="130">
        <v>5</v>
      </c>
      <c r="B605" s="130">
        <v>5</v>
      </c>
      <c r="C605" s="130" t="s">
        <v>1129</v>
      </c>
      <c r="D605" s="130">
        <v>3</v>
      </c>
      <c r="E605" s="130" t="s">
        <v>767</v>
      </c>
      <c r="F605" s="130">
        <v>0</v>
      </c>
      <c r="G605" s="130">
        <v>0</v>
      </c>
      <c r="H605" s="130">
        <v>0</v>
      </c>
      <c r="I605" s="131">
        <v>225661.11279296799</v>
      </c>
      <c r="J605" s="130" t="s">
        <v>275</v>
      </c>
      <c r="K605" s="130" t="s">
        <v>276</v>
      </c>
      <c r="L605" s="130" t="s">
        <v>63</v>
      </c>
      <c r="M605" s="130" t="s">
        <v>64</v>
      </c>
      <c r="N605" s="130" t="s">
        <v>15</v>
      </c>
      <c r="O605" s="130" t="s">
        <v>11</v>
      </c>
    </row>
    <row r="606" spans="1:15" s="28" customFormat="1" x14ac:dyDescent="0.25">
      <c r="A606" s="86">
        <v>5</v>
      </c>
      <c r="B606" s="86">
        <v>5</v>
      </c>
      <c r="C606" s="86" t="s">
        <v>1129</v>
      </c>
      <c r="D606" s="86">
        <v>3</v>
      </c>
      <c r="E606" s="86" t="s">
        <v>767</v>
      </c>
      <c r="F606" s="86">
        <v>0</v>
      </c>
      <c r="G606" s="86">
        <v>0</v>
      </c>
      <c r="H606" s="86">
        <v>0</v>
      </c>
      <c r="I606" s="87">
        <v>836047.90527343703</v>
      </c>
      <c r="J606" s="86" t="s">
        <v>237</v>
      </c>
      <c r="K606" s="86" t="s">
        <v>238</v>
      </c>
      <c r="L606" s="86" t="s">
        <v>63</v>
      </c>
      <c r="M606" s="86" t="s">
        <v>64</v>
      </c>
      <c r="N606" s="86" t="s">
        <v>726</v>
      </c>
      <c r="O606" s="86" t="s">
        <v>35</v>
      </c>
    </row>
    <row r="607" spans="1:15" s="264" customFormat="1" x14ac:dyDescent="0.25">
      <c r="A607" s="262">
        <v>5</v>
      </c>
      <c r="B607" s="262">
        <v>5</v>
      </c>
      <c r="C607" s="262" t="s">
        <v>1129</v>
      </c>
      <c r="D607" s="262">
        <v>3</v>
      </c>
      <c r="E607" s="262" t="s">
        <v>767</v>
      </c>
      <c r="F607" s="262">
        <v>0</v>
      </c>
      <c r="G607" s="262">
        <v>0</v>
      </c>
      <c r="H607" s="262">
        <v>0</v>
      </c>
      <c r="I607" s="263">
        <v>3992.927734375</v>
      </c>
      <c r="J607" s="262" t="s">
        <v>458</v>
      </c>
      <c r="K607" s="262" t="s">
        <v>459</v>
      </c>
      <c r="L607" s="262" t="s">
        <v>63</v>
      </c>
      <c r="M607" s="262" t="s">
        <v>64</v>
      </c>
      <c r="N607" s="262" t="s">
        <v>727</v>
      </c>
      <c r="O607" s="262" t="s">
        <v>77</v>
      </c>
    </row>
    <row r="608" spans="1:15" s="218" customFormat="1" x14ac:dyDescent="0.25">
      <c r="A608" s="265">
        <v>5</v>
      </c>
      <c r="B608" s="265">
        <v>5</v>
      </c>
      <c r="C608" s="265" t="s">
        <v>1129</v>
      </c>
      <c r="D608" s="265">
        <v>3</v>
      </c>
      <c r="E608" s="265" t="s">
        <v>767</v>
      </c>
      <c r="F608" s="265">
        <v>0</v>
      </c>
      <c r="G608" s="265">
        <v>0</v>
      </c>
      <c r="H608" s="265">
        <v>0</v>
      </c>
      <c r="I608" s="266">
        <v>189933.42919921799</v>
      </c>
      <c r="J608" s="265" t="s">
        <v>525</v>
      </c>
      <c r="K608" s="265" t="s">
        <v>526</v>
      </c>
      <c r="L608" s="265" t="s">
        <v>63</v>
      </c>
      <c r="M608" s="265" t="s">
        <v>64</v>
      </c>
      <c r="N608" s="265" t="s">
        <v>728</v>
      </c>
      <c r="O608" s="265" t="s">
        <v>11</v>
      </c>
    </row>
    <row r="609" spans="1:15" s="264" customFormat="1" x14ac:dyDescent="0.25">
      <c r="A609" s="262">
        <v>5</v>
      </c>
      <c r="B609" s="262">
        <v>5</v>
      </c>
      <c r="C609" s="262" t="s">
        <v>1129</v>
      </c>
      <c r="D609" s="262">
        <v>3</v>
      </c>
      <c r="E609" s="262" t="s">
        <v>767</v>
      </c>
      <c r="F609" s="262">
        <v>0</v>
      </c>
      <c r="G609" s="262">
        <v>0</v>
      </c>
      <c r="H609" s="262">
        <v>0</v>
      </c>
      <c r="I609" s="263">
        <v>46.97119140625</v>
      </c>
      <c r="J609" s="262" t="s">
        <v>130</v>
      </c>
      <c r="K609" s="262" t="s">
        <v>131</v>
      </c>
      <c r="L609" s="262" t="s">
        <v>63</v>
      </c>
      <c r="M609" s="262" t="s">
        <v>64</v>
      </c>
      <c r="N609" s="262" t="s">
        <v>727</v>
      </c>
      <c r="O609" s="262" t="s">
        <v>77</v>
      </c>
    </row>
    <row r="610" spans="1:15" s="129" customFormat="1" x14ac:dyDescent="0.25">
      <c r="A610" s="130">
        <v>5</v>
      </c>
      <c r="B610" s="130">
        <v>5</v>
      </c>
      <c r="C610" s="130" t="s">
        <v>1129</v>
      </c>
      <c r="D610" s="130">
        <v>3</v>
      </c>
      <c r="E610" s="130" t="s">
        <v>767</v>
      </c>
      <c r="F610" s="130">
        <v>0</v>
      </c>
      <c r="G610" s="130">
        <v>0</v>
      </c>
      <c r="H610" s="130">
        <v>0</v>
      </c>
      <c r="I610" s="131">
        <v>1739739.5307617099</v>
      </c>
      <c r="J610" s="130" t="s">
        <v>237</v>
      </c>
      <c r="K610" s="130" t="s">
        <v>238</v>
      </c>
      <c r="L610" s="130" t="s">
        <v>63</v>
      </c>
      <c r="M610" s="130" t="s">
        <v>64</v>
      </c>
      <c r="N610" s="130" t="s">
        <v>15</v>
      </c>
      <c r="O610" s="130" t="s">
        <v>77</v>
      </c>
    </row>
    <row r="611" spans="1:15" s="129" customFormat="1" x14ac:dyDescent="0.25">
      <c r="A611" s="130">
        <v>5</v>
      </c>
      <c r="B611" s="130">
        <v>5</v>
      </c>
      <c r="C611" s="130" t="s">
        <v>1129</v>
      </c>
      <c r="D611" s="130">
        <v>3</v>
      </c>
      <c r="E611" s="130" t="s">
        <v>767</v>
      </c>
      <c r="F611" s="130">
        <v>0</v>
      </c>
      <c r="G611" s="130">
        <v>0</v>
      </c>
      <c r="H611" s="130">
        <v>0</v>
      </c>
      <c r="I611" s="131">
        <v>554242.12060546805</v>
      </c>
      <c r="J611" s="130" t="s">
        <v>525</v>
      </c>
      <c r="K611" s="130" t="s">
        <v>526</v>
      </c>
      <c r="L611" s="130" t="s">
        <v>63</v>
      </c>
      <c r="M611" s="130" t="s">
        <v>64</v>
      </c>
      <c r="N611" s="130" t="s">
        <v>15</v>
      </c>
      <c r="O611" s="130" t="s">
        <v>11</v>
      </c>
    </row>
    <row r="612" spans="1:15" s="129" customFormat="1" x14ac:dyDescent="0.25">
      <c r="A612" s="130">
        <v>5</v>
      </c>
      <c r="B612" s="130">
        <v>5</v>
      </c>
      <c r="C612" s="130" t="s">
        <v>1129</v>
      </c>
      <c r="D612" s="130">
        <v>3</v>
      </c>
      <c r="E612" s="130" t="s">
        <v>767</v>
      </c>
      <c r="F612" s="130">
        <v>0</v>
      </c>
      <c r="G612" s="130">
        <v>0</v>
      </c>
      <c r="H612" s="130">
        <v>0</v>
      </c>
      <c r="I612" s="131">
        <v>5423490.6269531203</v>
      </c>
      <c r="J612" s="130" t="s">
        <v>295</v>
      </c>
      <c r="K612" s="130" t="s">
        <v>296</v>
      </c>
      <c r="L612" s="130" t="s">
        <v>63</v>
      </c>
      <c r="M612" s="130" t="s">
        <v>64</v>
      </c>
      <c r="N612" s="130" t="s">
        <v>15</v>
      </c>
      <c r="O612" s="130" t="s">
        <v>77</v>
      </c>
    </row>
    <row r="613" spans="1:15" s="28" customFormat="1" x14ac:dyDescent="0.25">
      <c r="A613" s="86">
        <v>5</v>
      </c>
      <c r="B613" s="86">
        <v>5</v>
      </c>
      <c r="C613" s="86" t="s">
        <v>1129</v>
      </c>
      <c r="D613" s="86">
        <v>3</v>
      </c>
      <c r="E613" s="86" t="s">
        <v>767</v>
      </c>
      <c r="F613" s="86">
        <v>0</v>
      </c>
      <c r="G613" s="86">
        <v>0</v>
      </c>
      <c r="H613" s="86">
        <v>0</v>
      </c>
      <c r="I613" s="87">
        <v>315041.51611328102</v>
      </c>
      <c r="J613" s="86" t="s">
        <v>295</v>
      </c>
      <c r="K613" s="86" t="s">
        <v>296</v>
      </c>
      <c r="L613" s="86" t="s">
        <v>63</v>
      </c>
      <c r="M613" s="86" t="s">
        <v>64</v>
      </c>
      <c r="N613" s="86" t="s">
        <v>726</v>
      </c>
      <c r="O613" s="86" t="s">
        <v>35</v>
      </c>
    </row>
    <row r="614" spans="1:15" s="264" customFormat="1" x14ac:dyDescent="0.25">
      <c r="A614" s="262">
        <v>5</v>
      </c>
      <c r="B614" s="262">
        <v>5</v>
      </c>
      <c r="C614" s="262" t="s">
        <v>1129</v>
      </c>
      <c r="D614" s="262">
        <v>3</v>
      </c>
      <c r="E614" s="262" t="s">
        <v>767</v>
      </c>
      <c r="F614" s="262">
        <v>0</v>
      </c>
      <c r="G614" s="262">
        <v>0</v>
      </c>
      <c r="H614" s="262">
        <v>0</v>
      </c>
      <c r="I614" s="263">
        <v>459637.73828125</v>
      </c>
      <c r="J614" s="262" t="s">
        <v>458</v>
      </c>
      <c r="K614" s="262" t="s">
        <v>459</v>
      </c>
      <c r="L614" s="262" t="s">
        <v>63</v>
      </c>
      <c r="M614" s="262" t="s">
        <v>64</v>
      </c>
      <c r="N614" s="262" t="s">
        <v>727</v>
      </c>
      <c r="O614" s="262" t="s">
        <v>77</v>
      </c>
    </row>
    <row r="615" spans="1:15" s="264" customFormat="1" x14ac:dyDescent="0.25">
      <c r="A615" s="262">
        <v>5</v>
      </c>
      <c r="B615" s="262">
        <v>5</v>
      </c>
      <c r="C615" s="262" t="s">
        <v>1129</v>
      </c>
      <c r="D615" s="262">
        <v>3</v>
      </c>
      <c r="E615" s="262" t="s">
        <v>767</v>
      </c>
      <c r="F615" s="262">
        <v>0</v>
      </c>
      <c r="G615" s="262">
        <v>0</v>
      </c>
      <c r="H615" s="262">
        <v>0</v>
      </c>
      <c r="I615" s="263">
        <v>59936.267578125</v>
      </c>
      <c r="J615" s="262" t="s">
        <v>130</v>
      </c>
      <c r="K615" s="262" t="s">
        <v>131</v>
      </c>
      <c r="L615" s="262" t="s">
        <v>63</v>
      </c>
      <c r="M615" s="262" t="s">
        <v>64</v>
      </c>
      <c r="N615" s="262" t="s">
        <v>727</v>
      </c>
      <c r="O615" s="262" t="s">
        <v>77</v>
      </c>
    </row>
    <row r="616" spans="1:15" s="129" customFormat="1" x14ac:dyDescent="0.25">
      <c r="A616" s="130">
        <v>5</v>
      </c>
      <c r="B616" s="130">
        <v>5</v>
      </c>
      <c r="C616" s="130" t="s">
        <v>1129</v>
      </c>
      <c r="D616" s="130">
        <v>3</v>
      </c>
      <c r="E616" s="130" t="s">
        <v>767</v>
      </c>
      <c r="F616" s="130">
        <v>0</v>
      </c>
      <c r="G616" s="130">
        <v>0</v>
      </c>
      <c r="H616" s="130">
        <v>0</v>
      </c>
      <c r="I616" s="131">
        <v>4532.2275390625</v>
      </c>
      <c r="J616" s="130" t="s">
        <v>237</v>
      </c>
      <c r="K616" s="130" t="s">
        <v>238</v>
      </c>
      <c r="L616" s="130" t="s">
        <v>63</v>
      </c>
      <c r="M616" s="130" t="s">
        <v>64</v>
      </c>
      <c r="N616" s="130" t="s">
        <v>15</v>
      </c>
      <c r="O616" s="130" t="s">
        <v>77</v>
      </c>
    </row>
    <row r="617" spans="1:15" s="129" customFormat="1" x14ac:dyDescent="0.25">
      <c r="A617" s="130">
        <v>5</v>
      </c>
      <c r="B617" s="130">
        <v>5</v>
      </c>
      <c r="C617" s="130" t="s">
        <v>1129</v>
      </c>
      <c r="D617" s="130">
        <v>3</v>
      </c>
      <c r="E617" s="130" t="s">
        <v>767</v>
      </c>
      <c r="F617" s="130">
        <v>0</v>
      </c>
      <c r="G617" s="130">
        <v>0</v>
      </c>
      <c r="H617" s="130">
        <v>0</v>
      </c>
      <c r="I617" s="131">
        <v>1551188.9555664</v>
      </c>
      <c r="J617" s="130" t="s">
        <v>458</v>
      </c>
      <c r="K617" s="130" t="s">
        <v>459</v>
      </c>
      <c r="L617" s="130" t="s">
        <v>63</v>
      </c>
      <c r="M617" s="130" t="s">
        <v>64</v>
      </c>
      <c r="N617" s="130" t="s">
        <v>15</v>
      </c>
      <c r="O617" s="130" t="s">
        <v>77</v>
      </c>
    </row>
    <row r="618" spans="1:15" s="28" customFormat="1" x14ac:dyDescent="0.25">
      <c r="A618" s="86">
        <v>5</v>
      </c>
      <c r="B618" s="86">
        <v>5</v>
      </c>
      <c r="C618" s="86" t="s">
        <v>1129</v>
      </c>
      <c r="D618" s="86">
        <v>3</v>
      </c>
      <c r="E618" s="86" t="s">
        <v>767</v>
      </c>
      <c r="F618" s="86">
        <v>0</v>
      </c>
      <c r="G618" s="86">
        <v>0</v>
      </c>
      <c r="H618" s="86">
        <v>0</v>
      </c>
      <c r="I618" s="87">
        <v>19361.965332031199</v>
      </c>
      <c r="J618" s="86" t="s">
        <v>237</v>
      </c>
      <c r="K618" s="86" t="s">
        <v>238</v>
      </c>
      <c r="L618" s="86" t="s">
        <v>63</v>
      </c>
      <c r="M618" s="86" t="s">
        <v>64</v>
      </c>
      <c r="N618" s="86" t="s">
        <v>726</v>
      </c>
      <c r="O618" s="86" t="s">
        <v>105</v>
      </c>
    </row>
    <row r="619" spans="1:15" s="129" customFormat="1" x14ac:dyDescent="0.25">
      <c r="A619" s="130">
        <v>5</v>
      </c>
      <c r="B619" s="130">
        <v>5</v>
      </c>
      <c r="C619" s="130" t="s">
        <v>1129</v>
      </c>
      <c r="D619" s="130">
        <v>3</v>
      </c>
      <c r="E619" s="130" t="s">
        <v>767</v>
      </c>
      <c r="F619" s="130">
        <v>0</v>
      </c>
      <c r="G619" s="130">
        <v>0</v>
      </c>
      <c r="H619" s="130">
        <v>0</v>
      </c>
      <c r="I619" s="131">
        <v>2857.32080078125</v>
      </c>
      <c r="J619" s="130" t="s">
        <v>130</v>
      </c>
      <c r="K619" s="130" t="s">
        <v>131</v>
      </c>
      <c r="L619" s="130" t="s">
        <v>63</v>
      </c>
      <c r="M619" s="130" t="s">
        <v>64</v>
      </c>
      <c r="N619" s="130" t="s">
        <v>15</v>
      </c>
      <c r="O619" s="130" t="s">
        <v>77</v>
      </c>
    </row>
    <row r="620" spans="1:15" s="28" customFormat="1" x14ac:dyDescent="0.25">
      <c r="A620" s="86">
        <v>5</v>
      </c>
      <c r="B620" s="86">
        <v>5</v>
      </c>
      <c r="C620" s="86" t="s">
        <v>1129</v>
      </c>
      <c r="D620" s="86">
        <v>3</v>
      </c>
      <c r="E620" s="86" t="s">
        <v>767</v>
      </c>
      <c r="F620" s="86">
        <v>0</v>
      </c>
      <c r="G620" s="86">
        <v>0</v>
      </c>
      <c r="H620" s="86">
        <v>0</v>
      </c>
      <c r="I620" s="87">
        <v>14958.296386718701</v>
      </c>
      <c r="J620" s="86" t="s">
        <v>130</v>
      </c>
      <c r="K620" s="86" t="s">
        <v>131</v>
      </c>
      <c r="L620" s="86" t="s">
        <v>63</v>
      </c>
      <c r="M620" s="86" t="s">
        <v>64</v>
      </c>
      <c r="N620" s="86" t="s">
        <v>726</v>
      </c>
      <c r="O620" s="86" t="s">
        <v>35</v>
      </c>
    </row>
    <row r="621" spans="1:15" s="129" customFormat="1" x14ac:dyDescent="0.25">
      <c r="A621" s="130">
        <v>5</v>
      </c>
      <c r="B621" s="130">
        <v>5</v>
      </c>
      <c r="C621" s="130" t="s">
        <v>1129</v>
      </c>
      <c r="D621" s="130">
        <v>3</v>
      </c>
      <c r="E621" s="130" t="s">
        <v>767</v>
      </c>
      <c r="F621" s="130">
        <v>0</v>
      </c>
      <c r="G621" s="130">
        <v>0</v>
      </c>
      <c r="H621" s="130">
        <v>0</v>
      </c>
      <c r="I621" s="131">
        <v>2112.05224609375</v>
      </c>
      <c r="J621" s="130" t="s">
        <v>295</v>
      </c>
      <c r="K621" s="130" t="s">
        <v>296</v>
      </c>
      <c r="L621" s="130" t="s">
        <v>63</v>
      </c>
      <c r="M621" s="130" t="s">
        <v>64</v>
      </c>
      <c r="N621" s="130" t="s">
        <v>15</v>
      </c>
      <c r="O621" s="130" t="s">
        <v>77</v>
      </c>
    </row>
    <row r="622" spans="1:15" s="264" customFormat="1" x14ac:dyDescent="0.25">
      <c r="A622" s="262">
        <v>5</v>
      </c>
      <c r="B622" s="262">
        <v>5</v>
      </c>
      <c r="C622" s="262" t="s">
        <v>1129</v>
      </c>
      <c r="D622" s="262">
        <v>3</v>
      </c>
      <c r="E622" s="262" t="s">
        <v>767</v>
      </c>
      <c r="F622" s="262">
        <v>0</v>
      </c>
      <c r="G622" s="262">
        <v>0</v>
      </c>
      <c r="H622" s="262">
        <v>0</v>
      </c>
      <c r="I622" s="263">
        <v>184485.44140625</v>
      </c>
      <c r="J622" s="262" t="s">
        <v>295</v>
      </c>
      <c r="K622" s="262" t="s">
        <v>296</v>
      </c>
      <c r="L622" s="262" t="s">
        <v>63</v>
      </c>
      <c r="M622" s="262" t="s">
        <v>64</v>
      </c>
      <c r="N622" s="262" t="s">
        <v>727</v>
      </c>
      <c r="O622" s="262" t="s">
        <v>77</v>
      </c>
    </row>
    <row r="623" spans="1:15" s="264" customFormat="1" x14ac:dyDescent="0.25">
      <c r="A623" s="262">
        <v>5</v>
      </c>
      <c r="B623" s="262">
        <v>5</v>
      </c>
      <c r="C623" s="262" t="s">
        <v>1129</v>
      </c>
      <c r="D623" s="262">
        <v>3</v>
      </c>
      <c r="E623" s="262" t="s">
        <v>767</v>
      </c>
      <c r="F623" s="262">
        <v>0</v>
      </c>
      <c r="G623" s="262">
        <v>0</v>
      </c>
      <c r="H623" s="262">
        <v>0</v>
      </c>
      <c r="I623" s="263">
        <v>386.50927734375</v>
      </c>
      <c r="J623" s="262" t="s">
        <v>237</v>
      </c>
      <c r="K623" s="262" t="s">
        <v>238</v>
      </c>
      <c r="L623" s="262" t="s">
        <v>63</v>
      </c>
      <c r="M623" s="262" t="s">
        <v>64</v>
      </c>
      <c r="N623" s="262" t="s">
        <v>727</v>
      </c>
      <c r="O623" s="262" t="s">
        <v>77</v>
      </c>
    </row>
    <row r="624" spans="1:15" s="129" customFormat="1" x14ac:dyDescent="0.25">
      <c r="A624" s="130">
        <v>6</v>
      </c>
      <c r="B624" s="130">
        <v>6</v>
      </c>
      <c r="C624" s="130" t="s">
        <v>1129</v>
      </c>
      <c r="D624" s="130">
        <v>3</v>
      </c>
      <c r="E624" s="130" t="s">
        <v>767</v>
      </c>
      <c r="F624" s="130">
        <v>0</v>
      </c>
      <c r="G624" s="130">
        <v>0</v>
      </c>
      <c r="H624" s="130">
        <v>0</v>
      </c>
      <c r="I624" s="131">
        <v>387765.04199218698</v>
      </c>
      <c r="J624" s="130" t="s">
        <v>20</v>
      </c>
      <c r="K624" s="130" t="s">
        <v>21</v>
      </c>
      <c r="L624" s="130" t="s">
        <v>18</v>
      </c>
      <c r="M624" s="130" t="s">
        <v>19</v>
      </c>
      <c r="N624" s="130" t="s">
        <v>15</v>
      </c>
      <c r="O624" s="130" t="s">
        <v>11</v>
      </c>
    </row>
    <row r="625" spans="1:15" s="28" customFormat="1" x14ac:dyDescent="0.25">
      <c r="A625" s="86">
        <v>6</v>
      </c>
      <c r="B625" s="86">
        <v>6</v>
      </c>
      <c r="C625" s="86" t="s">
        <v>1129</v>
      </c>
      <c r="D625" s="86">
        <v>3</v>
      </c>
      <c r="E625" s="86" t="s">
        <v>767</v>
      </c>
      <c r="F625" s="86">
        <v>0</v>
      </c>
      <c r="G625" s="86">
        <v>0</v>
      </c>
      <c r="H625" s="86">
        <v>0</v>
      </c>
      <c r="I625" s="87">
        <v>1984534.95166015</v>
      </c>
      <c r="J625" s="86" t="s">
        <v>31</v>
      </c>
      <c r="K625" s="86" t="s">
        <v>32</v>
      </c>
      <c r="L625" s="86" t="s">
        <v>33</v>
      </c>
      <c r="M625" s="86" t="s">
        <v>34</v>
      </c>
      <c r="N625" s="86" t="s">
        <v>726</v>
      </c>
      <c r="O625" s="86" t="s">
        <v>35</v>
      </c>
    </row>
    <row r="626" spans="1:15" s="264" customFormat="1" x14ac:dyDescent="0.25">
      <c r="A626" s="262">
        <v>6</v>
      </c>
      <c r="B626" s="262">
        <v>6</v>
      </c>
      <c r="C626" s="262" t="s">
        <v>1129</v>
      </c>
      <c r="D626" s="262">
        <v>3</v>
      </c>
      <c r="E626" s="262" t="s">
        <v>767</v>
      </c>
      <c r="F626" s="262">
        <v>0</v>
      </c>
      <c r="G626" s="262">
        <v>0</v>
      </c>
      <c r="H626" s="262">
        <v>0</v>
      </c>
      <c r="I626" s="263">
        <v>63932.473144531199</v>
      </c>
      <c r="J626" s="262" t="s">
        <v>20</v>
      </c>
      <c r="K626" s="262" t="s">
        <v>21</v>
      </c>
      <c r="L626" s="262" t="s">
        <v>18</v>
      </c>
      <c r="M626" s="262" t="s">
        <v>19</v>
      </c>
      <c r="N626" s="262" t="s">
        <v>727</v>
      </c>
      <c r="O626" s="262" t="s">
        <v>11</v>
      </c>
    </row>
    <row r="627" spans="1:15" s="264" customFormat="1" x14ac:dyDescent="0.25">
      <c r="A627" s="262">
        <v>6</v>
      </c>
      <c r="B627" s="262">
        <v>6</v>
      </c>
      <c r="C627" s="262" t="s">
        <v>1129</v>
      </c>
      <c r="D627" s="262">
        <v>3</v>
      </c>
      <c r="E627" s="262" t="s">
        <v>767</v>
      </c>
      <c r="F627" s="262">
        <v>0</v>
      </c>
      <c r="G627" s="262">
        <v>0</v>
      </c>
      <c r="H627" s="262">
        <v>0</v>
      </c>
      <c r="I627" s="263">
        <v>79330.190917968706</v>
      </c>
      <c r="J627" s="262" t="s">
        <v>73</v>
      </c>
      <c r="K627" s="262" t="s">
        <v>74</v>
      </c>
      <c r="L627" s="262" t="s">
        <v>75</v>
      </c>
      <c r="M627" s="262" t="s">
        <v>76</v>
      </c>
      <c r="N627" s="262" t="s">
        <v>727</v>
      </c>
      <c r="O627" s="262" t="s">
        <v>77</v>
      </c>
    </row>
    <row r="628" spans="1:15" s="218" customFormat="1" x14ac:dyDescent="0.25">
      <c r="A628" s="265">
        <v>6</v>
      </c>
      <c r="B628" s="265">
        <v>6</v>
      </c>
      <c r="C628" s="265" t="s">
        <v>1129</v>
      </c>
      <c r="D628" s="265">
        <v>3</v>
      </c>
      <c r="E628" s="265" t="s">
        <v>767</v>
      </c>
      <c r="F628" s="265">
        <v>0</v>
      </c>
      <c r="G628" s="265">
        <v>0</v>
      </c>
      <c r="H628" s="265">
        <v>0</v>
      </c>
      <c r="I628" s="266">
        <v>2273.7109375</v>
      </c>
      <c r="J628" s="265" t="s">
        <v>83</v>
      </c>
      <c r="K628" s="265" t="s">
        <v>84</v>
      </c>
      <c r="L628" s="265" t="s">
        <v>80</v>
      </c>
      <c r="M628" s="265" t="s">
        <v>733</v>
      </c>
      <c r="N628" s="265" t="s">
        <v>728</v>
      </c>
      <c r="O628" s="265" t="s">
        <v>11</v>
      </c>
    </row>
    <row r="629" spans="1:15" s="129" customFormat="1" x14ac:dyDescent="0.25">
      <c r="A629" s="130">
        <v>6</v>
      </c>
      <c r="B629" s="130">
        <v>6</v>
      </c>
      <c r="C629" s="130" t="s">
        <v>1129</v>
      </c>
      <c r="D629" s="130">
        <v>3</v>
      </c>
      <c r="E629" s="130" t="s">
        <v>767</v>
      </c>
      <c r="F629" s="130">
        <v>0</v>
      </c>
      <c r="G629" s="130">
        <v>0</v>
      </c>
      <c r="H629" s="130">
        <v>0</v>
      </c>
      <c r="I629" s="131">
        <v>3434253.6801757799</v>
      </c>
      <c r="J629" s="130" t="s">
        <v>97</v>
      </c>
      <c r="K629" s="130" t="s">
        <v>98</v>
      </c>
      <c r="L629" s="130" t="s">
        <v>75</v>
      </c>
      <c r="M629" s="130" t="s">
        <v>76</v>
      </c>
      <c r="N629" s="130" t="s">
        <v>15</v>
      </c>
      <c r="O629" s="130" t="s">
        <v>77</v>
      </c>
    </row>
    <row r="630" spans="1:15" s="264" customFormat="1" x14ac:dyDescent="0.25">
      <c r="A630" s="262">
        <v>6</v>
      </c>
      <c r="B630" s="262">
        <v>6</v>
      </c>
      <c r="C630" s="262" t="s">
        <v>1129</v>
      </c>
      <c r="D630" s="262">
        <v>3</v>
      </c>
      <c r="E630" s="262" t="s">
        <v>767</v>
      </c>
      <c r="F630" s="262">
        <v>0</v>
      </c>
      <c r="G630" s="262">
        <v>0</v>
      </c>
      <c r="H630" s="262">
        <v>0</v>
      </c>
      <c r="I630" s="263">
        <v>173888.15576171799</v>
      </c>
      <c r="J630" s="262" t="s">
        <v>97</v>
      </c>
      <c r="K630" s="262" t="s">
        <v>98</v>
      </c>
      <c r="L630" s="262" t="s">
        <v>75</v>
      </c>
      <c r="M630" s="262" t="s">
        <v>76</v>
      </c>
      <c r="N630" s="262" t="s">
        <v>727</v>
      </c>
      <c r="O630" s="262" t="s">
        <v>77</v>
      </c>
    </row>
    <row r="631" spans="1:15" s="129" customFormat="1" x14ac:dyDescent="0.25">
      <c r="A631" s="130">
        <v>6</v>
      </c>
      <c r="B631" s="130">
        <v>6</v>
      </c>
      <c r="C631" s="130" t="s">
        <v>1129</v>
      </c>
      <c r="D631" s="130">
        <v>3</v>
      </c>
      <c r="E631" s="130" t="s">
        <v>767</v>
      </c>
      <c r="F631" s="130">
        <v>0</v>
      </c>
      <c r="G631" s="130">
        <v>0</v>
      </c>
      <c r="H631" s="130">
        <v>0</v>
      </c>
      <c r="I631" s="131">
        <v>463197.396484375</v>
      </c>
      <c r="J631" s="130" t="s">
        <v>112</v>
      </c>
      <c r="K631" s="130" t="s">
        <v>113</v>
      </c>
      <c r="L631" s="130" t="s">
        <v>63</v>
      </c>
      <c r="M631" s="130" t="s">
        <v>64</v>
      </c>
      <c r="N631" s="130" t="s">
        <v>15</v>
      </c>
      <c r="O631" s="130" t="s">
        <v>11</v>
      </c>
    </row>
    <row r="632" spans="1:15" s="129" customFormat="1" x14ac:dyDescent="0.25">
      <c r="A632" s="130">
        <v>6</v>
      </c>
      <c r="B632" s="130">
        <v>6</v>
      </c>
      <c r="C632" s="130" t="s">
        <v>1129</v>
      </c>
      <c r="D632" s="130">
        <v>3</v>
      </c>
      <c r="E632" s="130" t="s">
        <v>767</v>
      </c>
      <c r="F632" s="130">
        <v>0</v>
      </c>
      <c r="G632" s="130">
        <v>0</v>
      </c>
      <c r="H632" s="130">
        <v>0</v>
      </c>
      <c r="I632" s="131">
        <v>87181745.479492098</v>
      </c>
      <c r="J632" s="130" t="s">
        <v>153</v>
      </c>
      <c r="K632" s="130" t="s">
        <v>154</v>
      </c>
      <c r="L632" s="130" t="s">
        <v>80</v>
      </c>
      <c r="M632" s="130" t="s">
        <v>733</v>
      </c>
      <c r="N632" s="130" t="s">
        <v>15</v>
      </c>
      <c r="O632" s="130" t="s">
        <v>11</v>
      </c>
    </row>
    <row r="633" spans="1:15" s="264" customFormat="1" x14ac:dyDescent="0.25">
      <c r="A633" s="262">
        <v>6</v>
      </c>
      <c r="B633" s="262">
        <v>6</v>
      </c>
      <c r="C633" s="262" t="s">
        <v>1129</v>
      </c>
      <c r="D633" s="262">
        <v>3</v>
      </c>
      <c r="E633" s="262" t="s">
        <v>767</v>
      </c>
      <c r="F633" s="262">
        <v>0</v>
      </c>
      <c r="G633" s="262">
        <v>0</v>
      </c>
      <c r="H633" s="262">
        <v>0</v>
      </c>
      <c r="I633" s="263">
        <v>6.7958984375</v>
      </c>
      <c r="J633" s="262" t="s">
        <v>175</v>
      </c>
      <c r="K633" s="262" t="s">
        <v>176</v>
      </c>
      <c r="L633" s="262" t="s">
        <v>80</v>
      </c>
      <c r="M633" s="262" t="s">
        <v>733</v>
      </c>
      <c r="N633" s="262" t="s">
        <v>727</v>
      </c>
      <c r="O633" s="262" t="s">
        <v>11</v>
      </c>
    </row>
    <row r="634" spans="1:15" s="264" customFormat="1" x14ac:dyDescent="0.25">
      <c r="A634" s="262">
        <v>6</v>
      </c>
      <c r="B634" s="262">
        <v>6</v>
      </c>
      <c r="C634" s="262" t="s">
        <v>1129</v>
      </c>
      <c r="D634" s="262">
        <v>3</v>
      </c>
      <c r="E634" s="262" t="s">
        <v>767</v>
      </c>
      <c r="F634" s="262">
        <v>0</v>
      </c>
      <c r="G634" s="262">
        <v>0</v>
      </c>
      <c r="H634" s="262">
        <v>0</v>
      </c>
      <c r="I634" s="263">
        <v>215292.669921875</v>
      </c>
      <c r="J634" s="262" t="s">
        <v>177</v>
      </c>
      <c r="K634" s="262" t="s">
        <v>178</v>
      </c>
      <c r="L634" s="262" t="s">
        <v>63</v>
      </c>
      <c r="M634" s="262" t="s">
        <v>64</v>
      </c>
      <c r="N634" s="262" t="s">
        <v>727</v>
      </c>
      <c r="O634" s="262" t="s">
        <v>11</v>
      </c>
    </row>
    <row r="635" spans="1:15" s="218" customFormat="1" x14ac:dyDescent="0.25">
      <c r="A635" s="265">
        <v>6</v>
      </c>
      <c r="B635" s="265">
        <v>6</v>
      </c>
      <c r="C635" s="265" t="s">
        <v>1129</v>
      </c>
      <c r="D635" s="265">
        <v>3</v>
      </c>
      <c r="E635" s="265" t="s">
        <v>767</v>
      </c>
      <c r="F635" s="265">
        <v>0</v>
      </c>
      <c r="G635" s="265">
        <v>0</v>
      </c>
      <c r="H635" s="265">
        <v>0</v>
      </c>
      <c r="I635" s="266">
        <v>75.87548828125</v>
      </c>
      <c r="J635" s="265" t="s">
        <v>187</v>
      </c>
      <c r="K635" s="265" t="s">
        <v>188</v>
      </c>
      <c r="L635" s="265" t="s">
        <v>189</v>
      </c>
      <c r="M635" s="265" t="s">
        <v>190</v>
      </c>
      <c r="N635" s="265" t="s">
        <v>728</v>
      </c>
      <c r="O635" s="265" t="s">
        <v>11</v>
      </c>
    </row>
    <row r="636" spans="1:15" s="264" customFormat="1" x14ac:dyDescent="0.25">
      <c r="A636" s="262">
        <v>6</v>
      </c>
      <c r="B636" s="262">
        <v>6</v>
      </c>
      <c r="C636" s="262" t="s">
        <v>1129</v>
      </c>
      <c r="D636" s="262">
        <v>3</v>
      </c>
      <c r="E636" s="262" t="s">
        <v>767</v>
      </c>
      <c r="F636" s="262">
        <v>0</v>
      </c>
      <c r="G636" s="262">
        <v>0</v>
      </c>
      <c r="H636" s="262">
        <v>0</v>
      </c>
      <c r="I636" s="263">
        <v>681584.92480468703</v>
      </c>
      <c r="J636" s="262" t="s">
        <v>191</v>
      </c>
      <c r="K636" s="262" t="s">
        <v>192</v>
      </c>
      <c r="L636" s="262" t="s">
        <v>75</v>
      </c>
      <c r="M636" s="262" t="s">
        <v>76</v>
      </c>
      <c r="N636" s="262" t="s">
        <v>727</v>
      </c>
      <c r="O636" s="262" t="s">
        <v>11</v>
      </c>
    </row>
    <row r="637" spans="1:15" s="129" customFormat="1" x14ac:dyDescent="0.25">
      <c r="A637" s="130">
        <v>6</v>
      </c>
      <c r="B637" s="130">
        <v>6</v>
      </c>
      <c r="C637" s="130" t="s">
        <v>1129</v>
      </c>
      <c r="D637" s="130">
        <v>3</v>
      </c>
      <c r="E637" s="130" t="s">
        <v>767</v>
      </c>
      <c r="F637" s="130">
        <v>0</v>
      </c>
      <c r="G637" s="130">
        <v>0</v>
      </c>
      <c r="H637" s="130">
        <v>0</v>
      </c>
      <c r="I637" s="131">
        <v>55580283.961425699</v>
      </c>
      <c r="J637" s="130" t="s">
        <v>193</v>
      </c>
      <c r="K637" s="130" t="s">
        <v>194</v>
      </c>
      <c r="L637" s="130" t="s">
        <v>189</v>
      </c>
      <c r="M637" s="130" t="s">
        <v>190</v>
      </c>
      <c r="N637" s="130" t="s">
        <v>15</v>
      </c>
      <c r="O637" s="130" t="s">
        <v>11</v>
      </c>
    </row>
    <row r="638" spans="1:15" s="218" customFormat="1" x14ac:dyDescent="0.25">
      <c r="A638" s="265">
        <v>6</v>
      </c>
      <c r="B638" s="265">
        <v>6</v>
      </c>
      <c r="C638" s="265" t="s">
        <v>1129</v>
      </c>
      <c r="D638" s="265">
        <v>3</v>
      </c>
      <c r="E638" s="265" t="s">
        <v>767</v>
      </c>
      <c r="F638" s="265">
        <v>0</v>
      </c>
      <c r="G638" s="265">
        <v>0</v>
      </c>
      <c r="H638" s="265">
        <v>0</v>
      </c>
      <c r="I638" s="266">
        <v>339.1357421875</v>
      </c>
      <c r="J638" s="265" t="s">
        <v>229</v>
      </c>
      <c r="K638" s="265" t="s">
        <v>230</v>
      </c>
      <c r="L638" s="265" t="s">
        <v>80</v>
      </c>
      <c r="M638" s="265" t="s">
        <v>733</v>
      </c>
      <c r="N638" s="265" t="s">
        <v>728</v>
      </c>
      <c r="O638" s="265" t="s">
        <v>11</v>
      </c>
    </row>
    <row r="639" spans="1:15" s="264" customFormat="1" x14ac:dyDescent="0.25">
      <c r="A639" s="262">
        <v>6</v>
      </c>
      <c r="B639" s="262">
        <v>6</v>
      </c>
      <c r="C639" s="262" t="s">
        <v>1129</v>
      </c>
      <c r="D639" s="262">
        <v>3</v>
      </c>
      <c r="E639" s="262" t="s">
        <v>767</v>
      </c>
      <c r="F639" s="262">
        <v>0</v>
      </c>
      <c r="G639" s="262">
        <v>0</v>
      </c>
      <c r="H639" s="262">
        <v>0</v>
      </c>
      <c r="I639" s="263">
        <v>1576166.2133789</v>
      </c>
      <c r="J639" s="262" t="s">
        <v>287</v>
      </c>
      <c r="K639" s="262" t="s">
        <v>288</v>
      </c>
      <c r="L639" s="262" t="s">
        <v>18</v>
      </c>
      <c r="M639" s="262" t="s">
        <v>19</v>
      </c>
      <c r="N639" s="262" t="s">
        <v>727</v>
      </c>
      <c r="O639" s="262" t="s">
        <v>11</v>
      </c>
    </row>
    <row r="640" spans="1:15" s="129" customFormat="1" x14ac:dyDescent="0.25">
      <c r="A640" s="130">
        <v>6</v>
      </c>
      <c r="B640" s="130">
        <v>6</v>
      </c>
      <c r="C640" s="130" t="s">
        <v>1129</v>
      </c>
      <c r="D640" s="130">
        <v>3</v>
      </c>
      <c r="E640" s="130" t="s">
        <v>767</v>
      </c>
      <c r="F640" s="130">
        <v>0</v>
      </c>
      <c r="G640" s="130">
        <v>0</v>
      </c>
      <c r="H640" s="130">
        <v>0</v>
      </c>
      <c r="I640" s="131">
        <v>13.3544921875</v>
      </c>
      <c r="J640" s="130" t="s">
        <v>175</v>
      </c>
      <c r="K640" s="130" t="s">
        <v>176</v>
      </c>
      <c r="L640" s="130" t="s">
        <v>80</v>
      </c>
      <c r="M640" s="130" t="s">
        <v>733</v>
      </c>
      <c r="N640" s="130" t="s">
        <v>15</v>
      </c>
      <c r="O640" s="130" t="s">
        <v>11</v>
      </c>
    </row>
    <row r="641" spans="1:15" s="264" customFormat="1" x14ac:dyDescent="0.25">
      <c r="A641" s="262">
        <v>6</v>
      </c>
      <c r="B641" s="262">
        <v>6</v>
      </c>
      <c r="C641" s="262" t="s">
        <v>1129</v>
      </c>
      <c r="D641" s="262">
        <v>3</v>
      </c>
      <c r="E641" s="262" t="s">
        <v>767</v>
      </c>
      <c r="F641" s="262">
        <v>0</v>
      </c>
      <c r="G641" s="262">
        <v>0</v>
      </c>
      <c r="H641" s="262">
        <v>0</v>
      </c>
      <c r="I641" s="263">
        <v>10171.3564453125</v>
      </c>
      <c r="J641" s="262" t="s">
        <v>229</v>
      </c>
      <c r="K641" s="262" t="s">
        <v>230</v>
      </c>
      <c r="L641" s="262" t="s">
        <v>80</v>
      </c>
      <c r="M641" s="262" t="s">
        <v>733</v>
      </c>
      <c r="N641" s="262" t="s">
        <v>727</v>
      </c>
      <c r="O641" s="262" t="s">
        <v>11</v>
      </c>
    </row>
    <row r="642" spans="1:15" s="129" customFormat="1" x14ac:dyDescent="0.25">
      <c r="A642" s="130">
        <v>6</v>
      </c>
      <c r="B642" s="130">
        <v>6</v>
      </c>
      <c r="C642" s="130" t="s">
        <v>1129</v>
      </c>
      <c r="D642" s="130">
        <v>3</v>
      </c>
      <c r="E642" s="130" t="s">
        <v>767</v>
      </c>
      <c r="F642" s="130">
        <v>0</v>
      </c>
      <c r="G642" s="130">
        <v>0</v>
      </c>
      <c r="H642" s="130">
        <v>0</v>
      </c>
      <c r="I642" s="131">
        <v>8556788.9633789007</v>
      </c>
      <c r="J642" s="130" t="s">
        <v>333</v>
      </c>
      <c r="K642" s="130" t="s">
        <v>334</v>
      </c>
      <c r="L642" s="130" t="s">
        <v>75</v>
      </c>
      <c r="M642" s="130" t="s">
        <v>76</v>
      </c>
      <c r="N642" s="130" t="s">
        <v>15</v>
      </c>
      <c r="O642" s="130" t="s">
        <v>11</v>
      </c>
    </row>
    <row r="643" spans="1:15" s="218" customFormat="1" x14ac:dyDescent="0.25">
      <c r="A643" s="265">
        <v>6</v>
      </c>
      <c r="B643" s="265">
        <v>6</v>
      </c>
      <c r="C643" s="265" t="s">
        <v>1129</v>
      </c>
      <c r="D643" s="265">
        <v>3</v>
      </c>
      <c r="E643" s="265" t="s">
        <v>767</v>
      </c>
      <c r="F643" s="265">
        <v>0</v>
      </c>
      <c r="G643" s="265">
        <v>0</v>
      </c>
      <c r="H643" s="265">
        <v>0</v>
      </c>
      <c r="I643" s="266">
        <v>1342211.1821289</v>
      </c>
      <c r="J643" s="265" t="s">
        <v>287</v>
      </c>
      <c r="K643" s="265" t="s">
        <v>288</v>
      </c>
      <c r="L643" s="265" t="s">
        <v>18</v>
      </c>
      <c r="M643" s="265" t="s">
        <v>19</v>
      </c>
      <c r="N643" s="265" t="s">
        <v>728</v>
      </c>
      <c r="O643" s="265" t="s">
        <v>11</v>
      </c>
    </row>
    <row r="644" spans="1:15" s="218" customFormat="1" x14ac:dyDescent="0.25">
      <c r="A644" s="265">
        <v>6</v>
      </c>
      <c r="B644" s="265">
        <v>6</v>
      </c>
      <c r="C644" s="265" t="s">
        <v>1129</v>
      </c>
      <c r="D644" s="265">
        <v>3</v>
      </c>
      <c r="E644" s="265" t="s">
        <v>767</v>
      </c>
      <c r="F644" s="265">
        <v>0</v>
      </c>
      <c r="G644" s="265">
        <v>0</v>
      </c>
      <c r="H644" s="265">
        <v>0</v>
      </c>
      <c r="I644" s="266">
        <v>845041.02734375</v>
      </c>
      <c r="J644" s="265" t="s">
        <v>361</v>
      </c>
      <c r="K644" s="265" t="s">
        <v>362</v>
      </c>
      <c r="L644" s="265" t="s">
        <v>33</v>
      </c>
      <c r="M644" s="265" t="s">
        <v>34</v>
      </c>
      <c r="N644" s="265" t="s">
        <v>728</v>
      </c>
      <c r="O644" s="265" t="s">
        <v>11</v>
      </c>
    </row>
    <row r="645" spans="1:15" s="264" customFormat="1" x14ac:dyDescent="0.25">
      <c r="A645" s="262">
        <v>6</v>
      </c>
      <c r="B645" s="262">
        <v>6</v>
      </c>
      <c r="C645" s="262" t="s">
        <v>1129</v>
      </c>
      <c r="D645" s="262">
        <v>3</v>
      </c>
      <c r="E645" s="262" t="s">
        <v>767</v>
      </c>
      <c r="F645" s="262">
        <v>0</v>
      </c>
      <c r="G645" s="262">
        <v>0</v>
      </c>
      <c r="H645" s="262">
        <v>0</v>
      </c>
      <c r="I645" s="263">
        <v>528325.64160156203</v>
      </c>
      <c r="J645" s="262" t="s">
        <v>383</v>
      </c>
      <c r="K645" s="262" t="s">
        <v>384</v>
      </c>
      <c r="L645" s="262" t="s">
        <v>189</v>
      </c>
      <c r="M645" s="262" t="s">
        <v>190</v>
      </c>
      <c r="N645" s="262" t="s">
        <v>727</v>
      </c>
      <c r="O645" s="262" t="s">
        <v>11</v>
      </c>
    </row>
    <row r="646" spans="1:15" s="218" customFormat="1" x14ac:dyDescent="0.25">
      <c r="A646" s="265">
        <v>6</v>
      </c>
      <c r="B646" s="265">
        <v>6</v>
      </c>
      <c r="C646" s="265" t="s">
        <v>1129</v>
      </c>
      <c r="D646" s="265">
        <v>3</v>
      </c>
      <c r="E646" s="265" t="s">
        <v>767</v>
      </c>
      <c r="F646" s="265">
        <v>0</v>
      </c>
      <c r="G646" s="265">
        <v>0</v>
      </c>
      <c r="H646" s="265">
        <v>0</v>
      </c>
      <c r="I646" s="266">
        <v>161461.03173828099</v>
      </c>
      <c r="J646" s="265" t="s">
        <v>177</v>
      </c>
      <c r="K646" s="265" t="s">
        <v>178</v>
      </c>
      <c r="L646" s="265" t="s">
        <v>63</v>
      </c>
      <c r="M646" s="265" t="s">
        <v>64</v>
      </c>
      <c r="N646" s="265" t="s">
        <v>728</v>
      </c>
      <c r="O646" s="265" t="s">
        <v>11</v>
      </c>
    </row>
    <row r="647" spans="1:15" s="218" customFormat="1" x14ac:dyDescent="0.25">
      <c r="A647" s="265">
        <v>6</v>
      </c>
      <c r="B647" s="265">
        <v>6</v>
      </c>
      <c r="C647" s="265" t="s">
        <v>1129</v>
      </c>
      <c r="D647" s="265">
        <v>3</v>
      </c>
      <c r="E647" s="265" t="s">
        <v>767</v>
      </c>
      <c r="F647" s="265">
        <v>0</v>
      </c>
      <c r="G647" s="265">
        <v>0</v>
      </c>
      <c r="H647" s="265">
        <v>0</v>
      </c>
      <c r="I647" s="266">
        <v>323653.80859375</v>
      </c>
      <c r="J647" s="265" t="s">
        <v>418</v>
      </c>
      <c r="K647" s="265" t="s">
        <v>419</v>
      </c>
      <c r="L647" s="265" t="s">
        <v>63</v>
      </c>
      <c r="M647" s="265" t="s">
        <v>64</v>
      </c>
      <c r="N647" s="265" t="s">
        <v>728</v>
      </c>
      <c r="O647" s="265" t="s">
        <v>11</v>
      </c>
    </row>
    <row r="648" spans="1:15" s="264" customFormat="1" x14ac:dyDescent="0.25">
      <c r="A648" s="262">
        <v>6</v>
      </c>
      <c r="B648" s="262">
        <v>6</v>
      </c>
      <c r="C648" s="262" t="s">
        <v>1129</v>
      </c>
      <c r="D648" s="262">
        <v>3</v>
      </c>
      <c r="E648" s="262" t="s">
        <v>767</v>
      </c>
      <c r="F648" s="262">
        <v>0</v>
      </c>
      <c r="G648" s="262">
        <v>0</v>
      </c>
      <c r="H648" s="262">
        <v>0</v>
      </c>
      <c r="I648" s="263">
        <v>4.669921875</v>
      </c>
      <c r="J648" s="262" t="s">
        <v>97</v>
      </c>
      <c r="K648" s="262" t="s">
        <v>98</v>
      </c>
      <c r="L648" s="262" t="s">
        <v>75</v>
      </c>
      <c r="M648" s="262" t="s">
        <v>76</v>
      </c>
      <c r="N648" s="262" t="s">
        <v>727</v>
      </c>
      <c r="O648" s="262" t="s">
        <v>77</v>
      </c>
    </row>
    <row r="649" spans="1:15" s="218" customFormat="1" x14ac:dyDescent="0.25">
      <c r="A649" s="265">
        <v>6</v>
      </c>
      <c r="B649" s="265">
        <v>6</v>
      </c>
      <c r="C649" s="265" t="s">
        <v>1129</v>
      </c>
      <c r="D649" s="265">
        <v>3</v>
      </c>
      <c r="E649" s="265" t="s">
        <v>767</v>
      </c>
      <c r="F649" s="265">
        <v>0</v>
      </c>
      <c r="G649" s="265">
        <v>0</v>
      </c>
      <c r="H649" s="265">
        <v>0</v>
      </c>
      <c r="I649" s="266">
        <v>120541.40527343701</v>
      </c>
      <c r="J649" s="265" t="s">
        <v>426</v>
      </c>
      <c r="K649" s="265" t="s">
        <v>427</v>
      </c>
      <c r="L649" s="265" t="s">
        <v>18</v>
      </c>
      <c r="M649" s="265" t="s">
        <v>19</v>
      </c>
      <c r="N649" s="265" t="s">
        <v>728</v>
      </c>
      <c r="O649" s="265" t="s">
        <v>11</v>
      </c>
    </row>
    <row r="650" spans="1:15" s="129" customFormat="1" x14ac:dyDescent="0.25">
      <c r="A650" s="130">
        <v>6</v>
      </c>
      <c r="B650" s="130">
        <v>6</v>
      </c>
      <c r="C650" s="130" t="s">
        <v>1129</v>
      </c>
      <c r="D650" s="130">
        <v>3</v>
      </c>
      <c r="E650" s="130" t="s">
        <v>767</v>
      </c>
      <c r="F650" s="130">
        <v>0</v>
      </c>
      <c r="G650" s="130">
        <v>0</v>
      </c>
      <c r="H650" s="130">
        <v>0</v>
      </c>
      <c r="I650" s="131">
        <v>656467.80761718703</v>
      </c>
      <c r="J650" s="130" t="s">
        <v>426</v>
      </c>
      <c r="K650" s="130" t="s">
        <v>427</v>
      </c>
      <c r="L650" s="130" t="s">
        <v>18</v>
      </c>
      <c r="M650" s="130" t="s">
        <v>19</v>
      </c>
      <c r="N650" s="130" t="s">
        <v>15</v>
      </c>
      <c r="O650" s="130" t="s">
        <v>11</v>
      </c>
    </row>
    <row r="651" spans="1:15" s="264" customFormat="1" x14ac:dyDescent="0.25">
      <c r="A651" s="262">
        <v>6</v>
      </c>
      <c r="B651" s="262">
        <v>6</v>
      </c>
      <c r="C651" s="262" t="s">
        <v>1129</v>
      </c>
      <c r="D651" s="262">
        <v>3</v>
      </c>
      <c r="E651" s="262" t="s">
        <v>767</v>
      </c>
      <c r="F651" s="262">
        <v>0</v>
      </c>
      <c r="G651" s="262">
        <v>0</v>
      </c>
      <c r="H651" s="262">
        <v>0</v>
      </c>
      <c r="I651" s="263">
        <v>6076242.0205078097</v>
      </c>
      <c r="J651" s="262" t="s">
        <v>193</v>
      </c>
      <c r="K651" s="262" t="s">
        <v>194</v>
      </c>
      <c r="L651" s="262" t="s">
        <v>189</v>
      </c>
      <c r="M651" s="262" t="s">
        <v>190</v>
      </c>
      <c r="N651" s="262" t="s">
        <v>727</v>
      </c>
      <c r="O651" s="262" t="s">
        <v>11</v>
      </c>
    </row>
    <row r="652" spans="1:15" s="129" customFormat="1" x14ac:dyDescent="0.25">
      <c r="A652" s="130">
        <v>6</v>
      </c>
      <c r="B652" s="130">
        <v>6</v>
      </c>
      <c r="C652" s="130" t="s">
        <v>1129</v>
      </c>
      <c r="D652" s="130">
        <v>3</v>
      </c>
      <c r="E652" s="130" t="s">
        <v>767</v>
      </c>
      <c r="F652" s="130">
        <v>0</v>
      </c>
      <c r="G652" s="130">
        <v>0</v>
      </c>
      <c r="H652" s="130">
        <v>0</v>
      </c>
      <c r="I652" s="131">
        <v>791.8193359375</v>
      </c>
      <c r="J652" s="130" t="s">
        <v>229</v>
      </c>
      <c r="K652" s="130" t="s">
        <v>230</v>
      </c>
      <c r="L652" s="130" t="s">
        <v>80</v>
      </c>
      <c r="M652" s="130" t="s">
        <v>733</v>
      </c>
      <c r="N652" s="130" t="s">
        <v>15</v>
      </c>
      <c r="O652" s="130" t="s">
        <v>11</v>
      </c>
    </row>
    <row r="653" spans="1:15" s="129" customFormat="1" x14ac:dyDescent="0.25">
      <c r="A653" s="130">
        <v>6</v>
      </c>
      <c r="B653" s="130">
        <v>6</v>
      </c>
      <c r="C653" s="130" t="s">
        <v>1129</v>
      </c>
      <c r="D653" s="130">
        <v>3</v>
      </c>
      <c r="E653" s="130" t="s">
        <v>767</v>
      </c>
      <c r="F653" s="130">
        <v>0</v>
      </c>
      <c r="G653" s="130">
        <v>0</v>
      </c>
      <c r="H653" s="130">
        <v>0</v>
      </c>
      <c r="I653" s="131">
        <v>547858.55078125</v>
      </c>
      <c r="J653" s="130" t="s">
        <v>177</v>
      </c>
      <c r="K653" s="130" t="s">
        <v>178</v>
      </c>
      <c r="L653" s="130" t="s">
        <v>63</v>
      </c>
      <c r="M653" s="130" t="s">
        <v>64</v>
      </c>
      <c r="N653" s="130" t="s">
        <v>15</v>
      </c>
      <c r="O653" s="130" t="s">
        <v>11</v>
      </c>
    </row>
    <row r="654" spans="1:15" s="129" customFormat="1" x14ac:dyDescent="0.25">
      <c r="A654" s="130">
        <v>6</v>
      </c>
      <c r="B654" s="130">
        <v>6</v>
      </c>
      <c r="C654" s="130" t="s">
        <v>1129</v>
      </c>
      <c r="D654" s="130">
        <v>3</v>
      </c>
      <c r="E654" s="130" t="s">
        <v>767</v>
      </c>
      <c r="F654" s="130">
        <v>0</v>
      </c>
      <c r="G654" s="130">
        <v>0</v>
      </c>
      <c r="H654" s="130">
        <v>0</v>
      </c>
      <c r="I654" s="131">
        <v>10745135.955566401</v>
      </c>
      <c r="J654" s="130" t="s">
        <v>383</v>
      </c>
      <c r="K654" s="130" t="s">
        <v>384</v>
      </c>
      <c r="L654" s="130" t="s">
        <v>189</v>
      </c>
      <c r="M654" s="130" t="s">
        <v>190</v>
      </c>
      <c r="N654" s="130" t="s">
        <v>15</v>
      </c>
      <c r="O654" s="130" t="s">
        <v>11</v>
      </c>
    </row>
    <row r="655" spans="1:15" s="129" customFormat="1" x14ac:dyDescent="0.25">
      <c r="A655" s="130">
        <v>6</v>
      </c>
      <c r="B655" s="130">
        <v>6</v>
      </c>
      <c r="C655" s="130" t="s">
        <v>1129</v>
      </c>
      <c r="D655" s="130">
        <v>3</v>
      </c>
      <c r="E655" s="130" t="s">
        <v>767</v>
      </c>
      <c r="F655" s="130">
        <v>0</v>
      </c>
      <c r="G655" s="130">
        <v>0</v>
      </c>
      <c r="H655" s="130">
        <v>0</v>
      </c>
      <c r="I655" s="131">
        <v>12812763.262695299</v>
      </c>
      <c r="J655" s="130" t="s">
        <v>287</v>
      </c>
      <c r="K655" s="130" t="s">
        <v>288</v>
      </c>
      <c r="L655" s="130" t="s">
        <v>18</v>
      </c>
      <c r="M655" s="130" t="s">
        <v>19</v>
      </c>
      <c r="N655" s="130" t="s">
        <v>15</v>
      </c>
      <c r="O655" s="130" t="s">
        <v>11</v>
      </c>
    </row>
    <row r="656" spans="1:15" s="264" customFormat="1" x14ac:dyDescent="0.25">
      <c r="A656" s="262">
        <v>6</v>
      </c>
      <c r="B656" s="262">
        <v>6</v>
      </c>
      <c r="C656" s="262" t="s">
        <v>1129</v>
      </c>
      <c r="D656" s="262">
        <v>3</v>
      </c>
      <c r="E656" s="262" t="s">
        <v>767</v>
      </c>
      <c r="F656" s="262">
        <v>0</v>
      </c>
      <c r="G656" s="262">
        <v>0</v>
      </c>
      <c r="H656" s="262">
        <v>0</v>
      </c>
      <c r="I656" s="263">
        <v>2098782.40380859</v>
      </c>
      <c r="J656" s="262" t="s">
        <v>468</v>
      </c>
      <c r="K656" s="262" t="s">
        <v>469</v>
      </c>
      <c r="L656" s="262" t="s">
        <v>75</v>
      </c>
      <c r="M656" s="262" t="s">
        <v>76</v>
      </c>
      <c r="N656" s="262" t="s">
        <v>727</v>
      </c>
      <c r="O656" s="262" t="s">
        <v>11</v>
      </c>
    </row>
    <row r="657" spans="1:15" s="264" customFormat="1" x14ac:dyDescent="0.25">
      <c r="A657" s="262">
        <v>6</v>
      </c>
      <c r="B657" s="262">
        <v>6</v>
      </c>
      <c r="C657" s="262" t="s">
        <v>1129</v>
      </c>
      <c r="D657" s="262">
        <v>3</v>
      </c>
      <c r="E657" s="262" t="s">
        <v>767</v>
      </c>
      <c r="F657" s="262">
        <v>0</v>
      </c>
      <c r="G657" s="262">
        <v>0</v>
      </c>
      <c r="H657" s="262">
        <v>0</v>
      </c>
      <c r="I657" s="263">
        <v>92075.3203125</v>
      </c>
      <c r="J657" s="262" t="s">
        <v>187</v>
      </c>
      <c r="K657" s="262" t="s">
        <v>188</v>
      </c>
      <c r="L657" s="262" t="s">
        <v>189</v>
      </c>
      <c r="M657" s="262" t="s">
        <v>190</v>
      </c>
      <c r="N657" s="262" t="s">
        <v>727</v>
      </c>
      <c r="O657" s="262" t="s">
        <v>11</v>
      </c>
    </row>
    <row r="658" spans="1:15" s="218" customFormat="1" x14ac:dyDescent="0.25">
      <c r="A658" s="265">
        <v>6</v>
      </c>
      <c r="B658" s="265">
        <v>6</v>
      </c>
      <c r="C658" s="265" t="s">
        <v>1129</v>
      </c>
      <c r="D658" s="265">
        <v>3</v>
      </c>
      <c r="E658" s="265" t="s">
        <v>767</v>
      </c>
      <c r="F658" s="265">
        <v>0</v>
      </c>
      <c r="G658" s="265">
        <v>0</v>
      </c>
      <c r="H658" s="265">
        <v>0</v>
      </c>
      <c r="I658" s="266">
        <v>2255431.30859375</v>
      </c>
      <c r="J658" s="265" t="s">
        <v>112</v>
      </c>
      <c r="K658" s="265" t="s">
        <v>113</v>
      </c>
      <c r="L658" s="265" t="s">
        <v>63</v>
      </c>
      <c r="M658" s="265" t="s">
        <v>64</v>
      </c>
      <c r="N658" s="265" t="s">
        <v>728</v>
      </c>
      <c r="O658" s="265" t="s">
        <v>11</v>
      </c>
    </row>
    <row r="659" spans="1:15" s="264" customFormat="1" x14ac:dyDescent="0.25">
      <c r="A659" s="262">
        <v>6</v>
      </c>
      <c r="B659" s="262">
        <v>6</v>
      </c>
      <c r="C659" s="262" t="s">
        <v>1129</v>
      </c>
      <c r="D659" s="262">
        <v>3</v>
      </c>
      <c r="E659" s="262" t="s">
        <v>767</v>
      </c>
      <c r="F659" s="262">
        <v>0</v>
      </c>
      <c r="G659" s="262">
        <v>0</v>
      </c>
      <c r="H659" s="262">
        <v>0</v>
      </c>
      <c r="I659" s="263">
        <v>857970.18115234305</v>
      </c>
      <c r="J659" s="262" t="s">
        <v>498</v>
      </c>
      <c r="K659" s="262" t="s">
        <v>499</v>
      </c>
      <c r="L659" s="262" t="s">
        <v>33</v>
      </c>
      <c r="M659" s="262" t="s">
        <v>34</v>
      </c>
      <c r="N659" s="262" t="s">
        <v>727</v>
      </c>
      <c r="O659" s="262" t="s">
        <v>11</v>
      </c>
    </row>
    <row r="660" spans="1:15" s="129" customFormat="1" x14ac:dyDescent="0.25">
      <c r="A660" s="130">
        <v>6</v>
      </c>
      <c r="B660" s="130">
        <v>6</v>
      </c>
      <c r="C660" s="130" t="s">
        <v>1129</v>
      </c>
      <c r="D660" s="130">
        <v>3</v>
      </c>
      <c r="E660" s="130" t="s">
        <v>767</v>
      </c>
      <c r="F660" s="130">
        <v>0</v>
      </c>
      <c r="G660" s="130">
        <v>0</v>
      </c>
      <c r="H660" s="130">
        <v>0</v>
      </c>
      <c r="I660" s="131">
        <v>6124456.5747070303</v>
      </c>
      <c r="J660" s="130" t="s">
        <v>468</v>
      </c>
      <c r="K660" s="130" t="s">
        <v>469</v>
      </c>
      <c r="L660" s="130" t="s">
        <v>75</v>
      </c>
      <c r="M660" s="130" t="s">
        <v>76</v>
      </c>
      <c r="N660" s="130" t="s">
        <v>15</v>
      </c>
      <c r="O660" s="130" t="s">
        <v>11</v>
      </c>
    </row>
    <row r="661" spans="1:15" s="264" customFormat="1" x14ac:dyDescent="0.25">
      <c r="A661" s="262">
        <v>6</v>
      </c>
      <c r="B661" s="262">
        <v>6</v>
      </c>
      <c r="C661" s="262" t="s">
        <v>1129</v>
      </c>
      <c r="D661" s="262">
        <v>3</v>
      </c>
      <c r="E661" s="262" t="s">
        <v>767</v>
      </c>
      <c r="F661" s="262">
        <v>0</v>
      </c>
      <c r="G661" s="262">
        <v>0</v>
      </c>
      <c r="H661" s="262">
        <v>0</v>
      </c>
      <c r="I661" s="263">
        <v>1215045.6948242099</v>
      </c>
      <c r="J661" s="262" t="s">
        <v>513</v>
      </c>
      <c r="K661" s="262" t="s">
        <v>514</v>
      </c>
      <c r="L661" s="262" t="s">
        <v>189</v>
      </c>
      <c r="M661" s="262" t="s">
        <v>190</v>
      </c>
      <c r="N661" s="262" t="s">
        <v>727</v>
      </c>
      <c r="O661" s="262" t="s">
        <v>11</v>
      </c>
    </row>
    <row r="662" spans="1:15" s="129" customFormat="1" x14ac:dyDescent="0.25">
      <c r="A662" s="130">
        <v>6</v>
      </c>
      <c r="B662" s="130">
        <v>6</v>
      </c>
      <c r="C662" s="130" t="s">
        <v>1129</v>
      </c>
      <c r="D662" s="130">
        <v>3</v>
      </c>
      <c r="E662" s="130" t="s">
        <v>767</v>
      </c>
      <c r="F662" s="130">
        <v>0</v>
      </c>
      <c r="G662" s="130">
        <v>0</v>
      </c>
      <c r="H662" s="130">
        <v>0</v>
      </c>
      <c r="I662" s="131">
        <v>3.970703125</v>
      </c>
      <c r="J662" s="130" t="s">
        <v>223</v>
      </c>
      <c r="K662" s="130" t="s">
        <v>224</v>
      </c>
      <c r="L662" s="130" t="s">
        <v>80</v>
      </c>
      <c r="M662" s="130" t="s">
        <v>733</v>
      </c>
      <c r="N662" s="130" t="s">
        <v>15</v>
      </c>
      <c r="O662" s="130" t="s">
        <v>11</v>
      </c>
    </row>
    <row r="663" spans="1:15" s="28" customFormat="1" x14ac:dyDescent="0.25">
      <c r="A663" s="86">
        <v>6</v>
      </c>
      <c r="B663" s="86">
        <v>6</v>
      </c>
      <c r="C663" s="86" t="s">
        <v>1129</v>
      </c>
      <c r="D663" s="86">
        <v>3</v>
      </c>
      <c r="E663" s="86" t="s">
        <v>767</v>
      </c>
      <c r="F663" s="86">
        <v>0</v>
      </c>
      <c r="G663" s="86">
        <v>0</v>
      </c>
      <c r="H663" s="86">
        <v>0</v>
      </c>
      <c r="I663" s="87">
        <v>3159232.0356445299</v>
      </c>
      <c r="J663" s="86" t="s">
        <v>97</v>
      </c>
      <c r="K663" s="86" t="s">
        <v>98</v>
      </c>
      <c r="L663" s="86" t="s">
        <v>75</v>
      </c>
      <c r="M663" s="86" t="s">
        <v>76</v>
      </c>
      <c r="N663" s="86" t="s">
        <v>726</v>
      </c>
      <c r="O663" s="86" t="s">
        <v>35</v>
      </c>
    </row>
    <row r="664" spans="1:15" s="264" customFormat="1" x14ac:dyDescent="0.25">
      <c r="A664" s="262">
        <v>6</v>
      </c>
      <c r="B664" s="262">
        <v>6</v>
      </c>
      <c r="C664" s="262" t="s">
        <v>1129</v>
      </c>
      <c r="D664" s="262">
        <v>3</v>
      </c>
      <c r="E664" s="262" t="s">
        <v>767</v>
      </c>
      <c r="F664" s="262">
        <v>0</v>
      </c>
      <c r="G664" s="262">
        <v>0</v>
      </c>
      <c r="H664" s="262">
        <v>0</v>
      </c>
      <c r="I664" s="263">
        <v>2113730.6762695299</v>
      </c>
      <c r="J664" s="262" t="s">
        <v>333</v>
      </c>
      <c r="K664" s="262" t="s">
        <v>334</v>
      </c>
      <c r="L664" s="262" t="s">
        <v>75</v>
      </c>
      <c r="M664" s="262" t="s">
        <v>76</v>
      </c>
      <c r="N664" s="262" t="s">
        <v>727</v>
      </c>
      <c r="O664" s="262" t="s">
        <v>11</v>
      </c>
    </row>
    <row r="665" spans="1:15" s="218" customFormat="1" x14ac:dyDescent="0.25">
      <c r="A665" s="265">
        <v>6</v>
      </c>
      <c r="B665" s="265">
        <v>6</v>
      </c>
      <c r="C665" s="265" t="s">
        <v>1129</v>
      </c>
      <c r="D665" s="265">
        <v>3</v>
      </c>
      <c r="E665" s="265" t="s">
        <v>767</v>
      </c>
      <c r="F665" s="265">
        <v>0</v>
      </c>
      <c r="G665" s="265">
        <v>0</v>
      </c>
      <c r="H665" s="265">
        <v>0</v>
      </c>
      <c r="I665" s="266">
        <v>1041563.8095703101</v>
      </c>
      <c r="J665" s="265" t="s">
        <v>191</v>
      </c>
      <c r="K665" s="265" t="s">
        <v>192</v>
      </c>
      <c r="L665" s="265" t="s">
        <v>75</v>
      </c>
      <c r="M665" s="265" t="s">
        <v>76</v>
      </c>
      <c r="N665" s="265" t="s">
        <v>728</v>
      </c>
      <c r="O665" s="265" t="s">
        <v>11</v>
      </c>
    </row>
    <row r="666" spans="1:15" s="28" customFormat="1" x14ac:dyDescent="0.25">
      <c r="A666" s="86">
        <v>6</v>
      </c>
      <c r="B666" s="86">
        <v>6</v>
      </c>
      <c r="C666" s="86" t="s">
        <v>1129</v>
      </c>
      <c r="D666" s="86">
        <v>3</v>
      </c>
      <c r="E666" s="86" t="s">
        <v>767</v>
      </c>
      <c r="F666" s="86">
        <v>0</v>
      </c>
      <c r="G666" s="86">
        <v>0</v>
      </c>
      <c r="H666" s="86">
        <v>0</v>
      </c>
      <c r="I666" s="87">
        <v>2929388.9682617099</v>
      </c>
      <c r="J666" s="86" t="s">
        <v>537</v>
      </c>
      <c r="K666" s="86" t="s">
        <v>538</v>
      </c>
      <c r="L666" s="86" t="s">
        <v>63</v>
      </c>
      <c r="M666" s="86" t="s">
        <v>64</v>
      </c>
      <c r="N666" s="86" t="s">
        <v>726</v>
      </c>
      <c r="O666" s="86" t="s">
        <v>35</v>
      </c>
    </row>
    <row r="667" spans="1:15" s="218" customFormat="1" x14ac:dyDescent="0.25">
      <c r="A667" s="265">
        <v>6</v>
      </c>
      <c r="B667" s="265">
        <v>6</v>
      </c>
      <c r="C667" s="265" t="s">
        <v>1129</v>
      </c>
      <c r="D667" s="265">
        <v>3</v>
      </c>
      <c r="E667" s="265" t="s">
        <v>767</v>
      </c>
      <c r="F667" s="265">
        <v>0</v>
      </c>
      <c r="G667" s="265">
        <v>0</v>
      </c>
      <c r="H667" s="265">
        <v>0</v>
      </c>
      <c r="I667" s="266">
        <v>297.75048828125</v>
      </c>
      <c r="J667" s="265" t="s">
        <v>553</v>
      </c>
      <c r="K667" s="265" t="s">
        <v>554</v>
      </c>
      <c r="L667" s="265" t="s">
        <v>80</v>
      </c>
      <c r="M667" s="265" t="s">
        <v>733</v>
      </c>
      <c r="N667" s="265" t="s">
        <v>728</v>
      </c>
      <c r="O667" s="265" t="s">
        <v>11</v>
      </c>
    </row>
    <row r="668" spans="1:15" s="218" customFormat="1" x14ac:dyDescent="0.25">
      <c r="A668" s="265">
        <v>6</v>
      </c>
      <c r="B668" s="265">
        <v>6</v>
      </c>
      <c r="C668" s="265" t="s">
        <v>1129</v>
      </c>
      <c r="D668" s="265">
        <v>3</v>
      </c>
      <c r="E668" s="265" t="s">
        <v>767</v>
      </c>
      <c r="F668" s="265">
        <v>0</v>
      </c>
      <c r="G668" s="265">
        <v>0</v>
      </c>
      <c r="H668" s="265">
        <v>0</v>
      </c>
      <c r="I668" s="266">
        <v>326855.26025390602</v>
      </c>
      <c r="J668" s="265" t="s">
        <v>223</v>
      </c>
      <c r="K668" s="265" t="s">
        <v>224</v>
      </c>
      <c r="L668" s="265" t="s">
        <v>80</v>
      </c>
      <c r="M668" s="265" t="s">
        <v>733</v>
      </c>
      <c r="N668" s="265" t="s">
        <v>728</v>
      </c>
      <c r="O668" s="265" t="s">
        <v>11</v>
      </c>
    </row>
    <row r="669" spans="1:15" s="218" customFormat="1" x14ac:dyDescent="0.25">
      <c r="A669" s="265">
        <v>6</v>
      </c>
      <c r="B669" s="265">
        <v>6</v>
      </c>
      <c r="C669" s="265" t="s">
        <v>1129</v>
      </c>
      <c r="D669" s="265">
        <v>3</v>
      </c>
      <c r="E669" s="265" t="s">
        <v>767</v>
      </c>
      <c r="F669" s="265">
        <v>0</v>
      </c>
      <c r="G669" s="265">
        <v>0</v>
      </c>
      <c r="H669" s="265">
        <v>0</v>
      </c>
      <c r="I669" s="266">
        <v>3817357.8227539002</v>
      </c>
      <c r="J669" s="265" t="s">
        <v>565</v>
      </c>
      <c r="K669" s="265" t="s">
        <v>566</v>
      </c>
      <c r="L669" s="265" t="s">
        <v>189</v>
      </c>
      <c r="M669" s="265" t="s">
        <v>190</v>
      </c>
      <c r="N669" s="265" t="s">
        <v>728</v>
      </c>
      <c r="O669" s="265" t="s">
        <v>11</v>
      </c>
    </row>
    <row r="670" spans="1:15" s="218" customFormat="1" x14ac:dyDescent="0.25">
      <c r="A670" s="265">
        <v>6</v>
      </c>
      <c r="B670" s="265">
        <v>6</v>
      </c>
      <c r="C670" s="265" t="s">
        <v>1129</v>
      </c>
      <c r="D670" s="265">
        <v>3</v>
      </c>
      <c r="E670" s="265" t="s">
        <v>767</v>
      </c>
      <c r="F670" s="265">
        <v>0</v>
      </c>
      <c r="G670" s="265">
        <v>0</v>
      </c>
      <c r="H670" s="265">
        <v>0</v>
      </c>
      <c r="I670" s="266">
        <v>1072565.5761718701</v>
      </c>
      <c r="J670" s="265" t="s">
        <v>498</v>
      </c>
      <c r="K670" s="265" t="s">
        <v>499</v>
      </c>
      <c r="L670" s="265" t="s">
        <v>33</v>
      </c>
      <c r="M670" s="265" t="s">
        <v>34</v>
      </c>
      <c r="N670" s="265" t="s">
        <v>728</v>
      </c>
      <c r="O670" s="265" t="s">
        <v>11</v>
      </c>
    </row>
    <row r="671" spans="1:15" s="129" customFormat="1" x14ac:dyDescent="0.25">
      <c r="A671" s="130">
        <v>6</v>
      </c>
      <c r="B671" s="130">
        <v>6</v>
      </c>
      <c r="C671" s="130" t="s">
        <v>1129</v>
      </c>
      <c r="D671" s="130">
        <v>3</v>
      </c>
      <c r="E671" s="130" t="s">
        <v>767</v>
      </c>
      <c r="F671" s="130">
        <v>0</v>
      </c>
      <c r="G671" s="130">
        <v>0</v>
      </c>
      <c r="H671" s="130">
        <v>0</v>
      </c>
      <c r="I671" s="131">
        <v>16850398.500488199</v>
      </c>
      <c r="J671" s="130" t="s">
        <v>565</v>
      </c>
      <c r="K671" s="130" t="s">
        <v>566</v>
      </c>
      <c r="L671" s="130" t="s">
        <v>189</v>
      </c>
      <c r="M671" s="130" t="s">
        <v>190</v>
      </c>
      <c r="N671" s="130" t="s">
        <v>15</v>
      </c>
      <c r="O671" s="130" t="s">
        <v>11</v>
      </c>
    </row>
    <row r="672" spans="1:15" s="218" customFormat="1" x14ac:dyDescent="0.25">
      <c r="A672" s="265">
        <v>6</v>
      </c>
      <c r="B672" s="265">
        <v>6</v>
      </c>
      <c r="C672" s="265" t="s">
        <v>1129</v>
      </c>
      <c r="D672" s="265">
        <v>3</v>
      </c>
      <c r="E672" s="265" t="s">
        <v>767</v>
      </c>
      <c r="F672" s="265">
        <v>0</v>
      </c>
      <c r="G672" s="265">
        <v>0</v>
      </c>
      <c r="H672" s="265">
        <v>0</v>
      </c>
      <c r="I672" s="266">
        <v>40083.494628906199</v>
      </c>
      <c r="J672" s="265" t="s">
        <v>20</v>
      </c>
      <c r="K672" s="265" t="s">
        <v>21</v>
      </c>
      <c r="L672" s="265" t="s">
        <v>18</v>
      </c>
      <c r="M672" s="265" t="s">
        <v>19</v>
      </c>
      <c r="N672" s="265" t="s">
        <v>728</v>
      </c>
      <c r="O672" s="265" t="s">
        <v>11</v>
      </c>
    </row>
    <row r="673" spans="1:15" s="129" customFormat="1" x14ac:dyDescent="0.25">
      <c r="A673" s="130">
        <v>6</v>
      </c>
      <c r="B673" s="130">
        <v>6</v>
      </c>
      <c r="C673" s="130" t="s">
        <v>1129</v>
      </c>
      <c r="D673" s="130">
        <v>3</v>
      </c>
      <c r="E673" s="130" t="s">
        <v>767</v>
      </c>
      <c r="F673" s="130">
        <v>0</v>
      </c>
      <c r="G673" s="130">
        <v>0</v>
      </c>
      <c r="H673" s="130">
        <v>0</v>
      </c>
      <c r="I673" s="131">
        <v>51309290.5390625</v>
      </c>
      <c r="J673" s="130" t="s">
        <v>498</v>
      </c>
      <c r="K673" s="130" t="s">
        <v>499</v>
      </c>
      <c r="L673" s="130" t="s">
        <v>33</v>
      </c>
      <c r="M673" s="130" t="s">
        <v>34</v>
      </c>
      <c r="N673" s="130" t="s">
        <v>15</v>
      </c>
      <c r="O673" s="130" t="s">
        <v>11</v>
      </c>
    </row>
    <row r="674" spans="1:15" s="264" customFormat="1" x14ac:dyDescent="0.25">
      <c r="A674" s="262">
        <v>6</v>
      </c>
      <c r="B674" s="262">
        <v>6</v>
      </c>
      <c r="C674" s="262" t="s">
        <v>1129</v>
      </c>
      <c r="D674" s="262">
        <v>3</v>
      </c>
      <c r="E674" s="262" t="s">
        <v>767</v>
      </c>
      <c r="F674" s="262">
        <v>0</v>
      </c>
      <c r="G674" s="262">
        <v>0</v>
      </c>
      <c r="H674" s="262">
        <v>0</v>
      </c>
      <c r="I674" s="263">
        <v>626038.787109375</v>
      </c>
      <c r="J674" s="262" t="s">
        <v>565</v>
      </c>
      <c r="K674" s="262" t="s">
        <v>566</v>
      </c>
      <c r="L674" s="262" t="s">
        <v>189</v>
      </c>
      <c r="M674" s="262" t="s">
        <v>190</v>
      </c>
      <c r="N674" s="262" t="s">
        <v>727</v>
      </c>
      <c r="O674" s="262" t="s">
        <v>11</v>
      </c>
    </row>
    <row r="675" spans="1:15" s="264" customFormat="1" x14ac:dyDescent="0.25">
      <c r="A675" s="262">
        <v>6</v>
      </c>
      <c r="B675" s="262">
        <v>6</v>
      </c>
      <c r="C675" s="262" t="s">
        <v>1129</v>
      </c>
      <c r="D675" s="262">
        <v>3</v>
      </c>
      <c r="E675" s="262" t="s">
        <v>767</v>
      </c>
      <c r="F675" s="262">
        <v>0</v>
      </c>
      <c r="G675" s="262">
        <v>0</v>
      </c>
      <c r="H675" s="262">
        <v>0</v>
      </c>
      <c r="I675" s="263">
        <v>32066.145996093699</v>
      </c>
      <c r="J675" s="262" t="s">
        <v>426</v>
      </c>
      <c r="K675" s="262" t="s">
        <v>427</v>
      </c>
      <c r="L675" s="262" t="s">
        <v>18</v>
      </c>
      <c r="M675" s="262" t="s">
        <v>19</v>
      </c>
      <c r="N675" s="262" t="s">
        <v>727</v>
      </c>
      <c r="O675" s="262" t="s">
        <v>11</v>
      </c>
    </row>
    <row r="676" spans="1:15" s="129" customFormat="1" x14ac:dyDescent="0.25">
      <c r="A676" s="130">
        <v>6</v>
      </c>
      <c r="B676" s="130">
        <v>6</v>
      </c>
      <c r="C676" s="130" t="s">
        <v>1129</v>
      </c>
      <c r="D676" s="130">
        <v>3</v>
      </c>
      <c r="E676" s="130" t="s">
        <v>767</v>
      </c>
      <c r="F676" s="130">
        <v>0</v>
      </c>
      <c r="G676" s="130">
        <v>0</v>
      </c>
      <c r="H676" s="130">
        <v>0</v>
      </c>
      <c r="I676" s="131">
        <v>37356586.742675699</v>
      </c>
      <c r="J676" s="130" t="s">
        <v>187</v>
      </c>
      <c r="K676" s="130" t="s">
        <v>188</v>
      </c>
      <c r="L676" s="130" t="s">
        <v>189</v>
      </c>
      <c r="M676" s="130" t="s">
        <v>190</v>
      </c>
      <c r="N676" s="130" t="s">
        <v>15</v>
      </c>
      <c r="O676" s="130" t="s">
        <v>11</v>
      </c>
    </row>
    <row r="677" spans="1:15" s="218" customFormat="1" x14ac:dyDescent="0.25">
      <c r="A677" s="265">
        <v>6</v>
      </c>
      <c r="B677" s="265">
        <v>6</v>
      </c>
      <c r="C677" s="265" t="s">
        <v>1129</v>
      </c>
      <c r="D677" s="265">
        <v>3</v>
      </c>
      <c r="E677" s="265" t="s">
        <v>767</v>
      </c>
      <c r="F677" s="265">
        <v>0</v>
      </c>
      <c r="G677" s="265">
        <v>0</v>
      </c>
      <c r="H677" s="265">
        <v>0</v>
      </c>
      <c r="I677" s="266">
        <v>903467.77587890602</v>
      </c>
      <c r="J677" s="265" t="s">
        <v>513</v>
      </c>
      <c r="K677" s="265" t="s">
        <v>514</v>
      </c>
      <c r="L677" s="265" t="s">
        <v>189</v>
      </c>
      <c r="M677" s="265" t="s">
        <v>190</v>
      </c>
      <c r="N677" s="265" t="s">
        <v>728</v>
      </c>
      <c r="O677" s="265" t="s">
        <v>11</v>
      </c>
    </row>
    <row r="678" spans="1:15" s="28" customFormat="1" x14ac:dyDescent="0.25">
      <c r="A678" s="86">
        <v>6</v>
      </c>
      <c r="B678" s="86">
        <v>6</v>
      </c>
      <c r="C678" s="86" t="s">
        <v>1129</v>
      </c>
      <c r="D678" s="86">
        <v>3</v>
      </c>
      <c r="E678" s="86" t="s">
        <v>767</v>
      </c>
      <c r="F678" s="86">
        <v>0</v>
      </c>
      <c r="G678" s="86">
        <v>0</v>
      </c>
      <c r="H678" s="86">
        <v>0</v>
      </c>
      <c r="I678" s="87">
        <v>5763831.1416015597</v>
      </c>
      <c r="J678" s="86" t="s">
        <v>599</v>
      </c>
      <c r="K678" s="86" t="s">
        <v>600</v>
      </c>
      <c r="L678" s="86" t="s">
        <v>75</v>
      </c>
      <c r="M678" s="86" t="s">
        <v>76</v>
      </c>
      <c r="N678" s="86" t="s">
        <v>726</v>
      </c>
      <c r="O678" s="86" t="s">
        <v>35</v>
      </c>
    </row>
    <row r="679" spans="1:15" s="264" customFormat="1" x14ac:dyDescent="0.25">
      <c r="A679" s="262">
        <v>6</v>
      </c>
      <c r="B679" s="262">
        <v>6</v>
      </c>
      <c r="C679" s="262" t="s">
        <v>1129</v>
      </c>
      <c r="D679" s="262">
        <v>3</v>
      </c>
      <c r="E679" s="262" t="s">
        <v>767</v>
      </c>
      <c r="F679" s="262">
        <v>0</v>
      </c>
      <c r="G679" s="262">
        <v>0</v>
      </c>
      <c r="H679" s="262">
        <v>0</v>
      </c>
      <c r="I679" s="263">
        <v>308113.09228515602</v>
      </c>
      <c r="J679" s="262" t="s">
        <v>112</v>
      </c>
      <c r="K679" s="262" t="s">
        <v>113</v>
      </c>
      <c r="L679" s="262" t="s">
        <v>63</v>
      </c>
      <c r="M679" s="262" t="s">
        <v>64</v>
      </c>
      <c r="N679" s="262" t="s">
        <v>727</v>
      </c>
      <c r="O679" s="262" t="s">
        <v>11</v>
      </c>
    </row>
    <row r="680" spans="1:15" s="129" customFormat="1" x14ac:dyDescent="0.25">
      <c r="A680" s="130">
        <v>6</v>
      </c>
      <c r="B680" s="130">
        <v>6</v>
      </c>
      <c r="C680" s="130" t="s">
        <v>1129</v>
      </c>
      <c r="D680" s="130">
        <v>3</v>
      </c>
      <c r="E680" s="130" t="s">
        <v>767</v>
      </c>
      <c r="F680" s="130">
        <v>0</v>
      </c>
      <c r="G680" s="130">
        <v>0</v>
      </c>
      <c r="H680" s="130">
        <v>0</v>
      </c>
      <c r="I680" s="131">
        <v>1339504.5205078099</v>
      </c>
      <c r="J680" s="130" t="s">
        <v>191</v>
      </c>
      <c r="K680" s="130" t="s">
        <v>192</v>
      </c>
      <c r="L680" s="130" t="s">
        <v>75</v>
      </c>
      <c r="M680" s="130" t="s">
        <v>76</v>
      </c>
      <c r="N680" s="130" t="s">
        <v>15</v>
      </c>
      <c r="O680" s="130" t="s">
        <v>11</v>
      </c>
    </row>
    <row r="681" spans="1:15" s="28" customFormat="1" x14ac:dyDescent="0.25">
      <c r="A681" s="86">
        <v>6</v>
      </c>
      <c r="B681" s="86">
        <v>6</v>
      </c>
      <c r="C681" s="86" t="s">
        <v>1129</v>
      </c>
      <c r="D681" s="86">
        <v>3</v>
      </c>
      <c r="E681" s="86" t="s">
        <v>767</v>
      </c>
      <c r="F681" s="86">
        <v>0</v>
      </c>
      <c r="G681" s="86">
        <v>0</v>
      </c>
      <c r="H681" s="86">
        <v>0</v>
      </c>
      <c r="I681" s="87">
        <v>354802.56005859299</v>
      </c>
      <c r="J681" s="86" t="s">
        <v>537</v>
      </c>
      <c r="K681" s="86" t="s">
        <v>538</v>
      </c>
      <c r="L681" s="86" t="s">
        <v>63</v>
      </c>
      <c r="M681" s="86" t="s">
        <v>64</v>
      </c>
      <c r="N681" s="86" t="s">
        <v>726</v>
      </c>
      <c r="O681" s="86" t="s">
        <v>105</v>
      </c>
    </row>
    <row r="682" spans="1:15" s="28" customFormat="1" x14ac:dyDescent="0.25">
      <c r="A682" s="86">
        <v>6</v>
      </c>
      <c r="B682" s="86">
        <v>6</v>
      </c>
      <c r="C682" s="86" t="s">
        <v>1129</v>
      </c>
      <c r="D682" s="86">
        <v>3</v>
      </c>
      <c r="E682" s="86" t="s">
        <v>767</v>
      </c>
      <c r="F682" s="86">
        <v>0</v>
      </c>
      <c r="G682" s="86">
        <v>0</v>
      </c>
      <c r="H682" s="86">
        <v>0</v>
      </c>
      <c r="I682" s="87">
        <v>834475.12988281203</v>
      </c>
      <c r="J682" s="86" t="s">
        <v>609</v>
      </c>
      <c r="K682" s="86" t="s">
        <v>610</v>
      </c>
      <c r="L682" s="86" t="s">
        <v>75</v>
      </c>
      <c r="M682" s="86" t="s">
        <v>76</v>
      </c>
      <c r="N682" s="86" t="s">
        <v>726</v>
      </c>
      <c r="O682" s="86" t="s">
        <v>105</v>
      </c>
    </row>
    <row r="683" spans="1:15" s="28" customFormat="1" x14ac:dyDescent="0.25">
      <c r="A683" s="86">
        <v>6</v>
      </c>
      <c r="B683" s="86">
        <v>6</v>
      </c>
      <c r="C683" s="86" t="s">
        <v>1129</v>
      </c>
      <c r="D683" s="86">
        <v>3</v>
      </c>
      <c r="E683" s="86" t="s">
        <v>767</v>
      </c>
      <c r="F683" s="86">
        <v>0</v>
      </c>
      <c r="G683" s="86">
        <v>0</v>
      </c>
      <c r="H683" s="86">
        <v>0</v>
      </c>
      <c r="I683" s="87">
        <v>614194.71044921805</v>
      </c>
      <c r="J683" s="86" t="s">
        <v>97</v>
      </c>
      <c r="K683" s="86" t="s">
        <v>98</v>
      </c>
      <c r="L683" s="86" t="s">
        <v>75</v>
      </c>
      <c r="M683" s="86" t="s">
        <v>76</v>
      </c>
      <c r="N683" s="86" t="s">
        <v>726</v>
      </c>
      <c r="O683" s="86" t="s">
        <v>105</v>
      </c>
    </row>
    <row r="684" spans="1:15" s="129" customFormat="1" x14ac:dyDescent="0.25">
      <c r="A684" s="130">
        <v>6</v>
      </c>
      <c r="B684" s="130">
        <v>6</v>
      </c>
      <c r="C684" s="130" t="s">
        <v>1129</v>
      </c>
      <c r="D684" s="130">
        <v>3</v>
      </c>
      <c r="E684" s="130" t="s">
        <v>767</v>
      </c>
      <c r="F684" s="130">
        <v>0</v>
      </c>
      <c r="G684" s="130">
        <v>0</v>
      </c>
      <c r="H684" s="130">
        <v>0</v>
      </c>
      <c r="I684" s="131">
        <v>1714919.12646484</v>
      </c>
      <c r="J684" s="130" t="s">
        <v>361</v>
      </c>
      <c r="K684" s="130" t="s">
        <v>362</v>
      </c>
      <c r="L684" s="130" t="s">
        <v>33</v>
      </c>
      <c r="M684" s="130" t="s">
        <v>34</v>
      </c>
      <c r="N684" s="130" t="s">
        <v>15</v>
      </c>
      <c r="O684" s="130" t="s">
        <v>11</v>
      </c>
    </row>
    <row r="685" spans="1:15" s="129" customFormat="1" x14ac:dyDescent="0.25">
      <c r="A685" s="130">
        <v>6</v>
      </c>
      <c r="B685" s="130">
        <v>6</v>
      </c>
      <c r="C685" s="130" t="s">
        <v>1129</v>
      </c>
      <c r="D685" s="130">
        <v>3</v>
      </c>
      <c r="E685" s="130" t="s">
        <v>767</v>
      </c>
      <c r="F685" s="130">
        <v>0</v>
      </c>
      <c r="G685" s="130">
        <v>0</v>
      </c>
      <c r="H685" s="130">
        <v>0</v>
      </c>
      <c r="I685" s="131">
        <v>314.53662109375</v>
      </c>
      <c r="J685" s="130" t="s">
        <v>83</v>
      </c>
      <c r="K685" s="130" t="s">
        <v>84</v>
      </c>
      <c r="L685" s="130" t="s">
        <v>80</v>
      </c>
      <c r="M685" s="130" t="s">
        <v>733</v>
      </c>
      <c r="N685" s="130" t="s">
        <v>15</v>
      </c>
      <c r="O685" s="130" t="s">
        <v>11</v>
      </c>
    </row>
    <row r="686" spans="1:15" s="28" customFormat="1" x14ac:dyDescent="0.25">
      <c r="A686" s="86">
        <v>6</v>
      </c>
      <c r="B686" s="86">
        <v>6</v>
      </c>
      <c r="C686" s="86" t="s">
        <v>1129</v>
      </c>
      <c r="D686" s="86">
        <v>3</v>
      </c>
      <c r="E686" s="86" t="s">
        <v>767</v>
      </c>
      <c r="F686" s="86">
        <v>0</v>
      </c>
      <c r="G686" s="86">
        <v>0</v>
      </c>
      <c r="H686" s="86">
        <v>0</v>
      </c>
      <c r="I686" s="87">
        <v>2700663.3305664002</v>
      </c>
      <c r="J686" s="86" t="s">
        <v>649</v>
      </c>
      <c r="K686" s="86" t="s">
        <v>650</v>
      </c>
      <c r="L686" s="86" t="s">
        <v>63</v>
      </c>
      <c r="M686" s="86" t="s">
        <v>64</v>
      </c>
      <c r="N686" s="86" t="s">
        <v>726</v>
      </c>
      <c r="O686" s="86" t="s">
        <v>35</v>
      </c>
    </row>
    <row r="687" spans="1:15" s="28" customFormat="1" x14ac:dyDescent="0.25">
      <c r="A687" s="86">
        <v>6</v>
      </c>
      <c r="B687" s="86">
        <v>6</v>
      </c>
      <c r="C687" s="86" t="s">
        <v>1129</v>
      </c>
      <c r="D687" s="86">
        <v>3</v>
      </c>
      <c r="E687" s="86" t="s">
        <v>767</v>
      </c>
      <c r="F687" s="86">
        <v>0</v>
      </c>
      <c r="G687" s="86">
        <v>0</v>
      </c>
      <c r="H687" s="86">
        <v>0</v>
      </c>
      <c r="I687" s="87">
        <v>10734210.918945299</v>
      </c>
      <c r="J687" s="86" t="s">
        <v>73</v>
      </c>
      <c r="K687" s="86" t="s">
        <v>74</v>
      </c>
      <c r="L687" s="86" t="s">
        <v>75</v>
      </c>
      <c r="M687" s="86" t="s">
        <v>76</v>
      </c>
      <c r="N687" s="86" t="s">
        <v>726</v>
      </c>
      <c r="O687" s="86" t="s">
        <v>35</v>
      </c>
    </row>
    <row r="688" spans="1:15" s="129" customFormat="1" x14ac:dyDescent="0.25">
      <c r="A688" s="130">
        <v>6</v>
      </c>
      <c r="B688" s="130">
        <v>6</v>
      </c>
      <c r="C688" s="130" t="s">
        <v>1129</v>
      </c>
      <c r="D688" s="130">
        <v>3</v>
      </c>
      <c r="E688" s="130" t="s">
        <v>767</v>
      </c>
      <c r="F688" s="130">
        <v>0</v>
      </c>
      <c r="G688" s="130">
        <v>0</v>
      </c>
      <c r="H688" s="130">
        <v>0</v>
      </c>
      <c r="I688" s="131">
        <v>1864779.3642578099</v>
      </c>
      <c r="J688" s="130" t="s">
        <v>513</v>
      </c>
      <c r="K688" s="130" t="s">
        <v>514</v>
      </c>
      <c r="L688" s="130" t="s">
        <v>189</v>
      </c>
      <c r="M688" s="130" t="s">
        <v>190</v>
      </c>
      <c r="N688" s="130" t="s">
        <v>15</v>
      </c>
      <c r="O688" s="130" t="s">
        <v>11</v>
      </c>
    </row>
    <row r="689" spans="1:15" s="28" customFormat="1" x14ac:dyDescent="0.25">
      <c r="A689" s="86">
        <v>6</v>
      </c>
      <c r="B689" s="86">
        <v>6</v>
      </c>
      <c r="C689" s="86" t="s">
        <v>1129</v>
      </c>
      <c r="D689" s="86">
        <v>3</v>
      </c>
      <c r="E689" s="86" t="s">
        <v>767</v>
      </c>
      <c r="F689" s="86">
        <v>0</v>
      </c>
      <c r="G689" s="86">
        <v>0</v>
      </c>
      <c r="H689" s="86">
        <v>0</v>
      </c>
      <c r="I689" s="87">
        <v>4697805.35058593</v>
      </c>
      <c r="J689" s="86" t="s">
        <v>609</v>
      </c>
      <c r="K689" s="86" t="s">
        <v>610</v>
      </c>
      <c r="L689" s="86" t="s">
        <v>75</v>
      </c>
      <c r="M689" s="86" t="s">
        <v>76</v>
      </c>
      <c r="N689" s="86" t="s">
        <v>726</v>
      </c>
      <c r="O689" s="86" t="s">
        <v>681</v>
      </c>
    </row>
    <row r="690" spans="1:15" s="218" customFormat="1" x14ac:dyDescent="0.25">
      <c r="A690" s="265">
        <v>6</v>
      </c>
      <c r="B690" s="265">
        <v>6</v>
      </c>
      <c r="C690" s="265" t="s">
        <v>1129</v>
      </c>
      <c r="D690" s="265">
        <v>3</v>
      </c>
      <c r="E690" s="265" t="s">
        <v>767</v>
      </c>
      <c r="F690" s="265">
        <v>0</v>
      </c>
      <c r="G690" s="265">
        <v>0</v>
      </c>
      <c r="H690" s="265">
        <v>0</v>
      </c>
      <c r="I690" s="266">
        <v>624113.50390625</v>
      </c>
      <c r="J690" s="265" t="s">
        <v>686</v>
      </c>
      <c r="K690" s="265" t="s">
        <v>687</v>
      </c>
      <c r="L690" s="265" t="s">
        <v>63</v>
      </c>
      <c r="M690" s="265" t="s">
        <v>64</v>
      </c>
      <c r="N690" s="265" t="s">
        <v>728</v>
      </c>
      <c r="O690" s="265" t="s">
        <v>11</v>
      </c>
    </row>
    <row r="691" spans="1:15" s="129" customFormat="1" x14ac:dyDescent="0.25">
      <c r="A691" s="130">
        <v>6</v>
      </c>
      <c r="B691" s="130">
        <v>6</v>
      </c>
      <c r="C691" s="130" t="s">
        <v>1129</v>
      </c>
      <c r="D691" s="130">
        <v>3</v>
      </c>
      <c r="E691" s="130" t="s">
        <v>767</v>
      </c>
      <c r="F691" s="130">
        <v>0</v>
      </c>
      <c r="G691" s="130">
        <v>0</v>
      </c>
      <c r="H691" s="130">
        <v>0</v>
      </c>
      <c r="I691" s="131">
        <v>505.47314453125</v>
      </c>
      <c r="J691" s="130" t="s">
        <v>73</v>
      </c>
      <c r="K691" s="130" t="s">
        <v>74</v>
      </c>
      <c r="L691" s="130" t="s">
        <v>75</v>
      </c>
      <c r="M691" s="130" t="s">
        <v>76</v>
      </c>
      <c r="N691" s="130" t="s">
        <v>15</v>
      </c>
      <c r="O691" s="130" t="s">
        <v>77</v>
      </c>
    </row>
    <row r="692" spans="1:15" s="129" customFormat="1" x14ac:dyDescent="0.25">
      <c r="A692" s="130">
        <v>6</v>
      </c>
      <c r="B692" s="130">
        <v>6</v>
      </c>
      <c r="C692" s="130" t="s">
        <v>1129</v>
      </c>
      <c r="D692" s="130">
        <v>3</v>
      </c>
      <c r="E692" s="130" t="s">
        <v>767</v>
      </c>
      <c r="F692" s="130">
        <v>0</v>
      </c>
      <c r="G692" s="130">
        <v>0</v>
      </c>
      <c r="H692" s="130">
        <v>0</v>
      </c>
      <c r="I692" s="131">
        <v>19699.999511718699</v>
      </c>
      <c r="J692" s="130" t="s">
        <v>553</v>
      </c>
      <c r="K692" s="130" t="s">
        <v>554</v>
      </c>
      <c r="L692" s="130" t="s">
        <v>80</v>
      </c>
      <c r="M692" s="130" t="s">
        <v>733</v>
      </c>
      <c r="N692" s="130" t="s">
        <v>15</v>
      </c>
      <c r="O692" s="130" t="s">
        <v>11</v>
      </c>
    </row>
    <row r="693" spans="1:15" s="129" customFormat="1" x14ac:dyDescent="0.25">
      <c r="A693" s="130">
        <v>6</v>
      </c>
      <c r="B693" s="130">
        <v>6</v>
      </c>
      <c r="C693" s="130" t="s">
        <v>1129</v>
      </c>
      <c r="D693" s="130">
        <v>3</v>
      </c>
      <c r="E693" s="130" t="s">
        <v>767</v>
      </c>
      <c r="F693" s="130">
        <v>0</v>
      </c>
      <c r="G693" s="130">
        <v>0</v>
      </c>
      <c r="H693" s="130">
        <v>0</v>
      </c>
      <c r="I693" s="131">
        <v>1225380.3071289</v>
      </c>
      <c r="J693" s="130" t="s">
        <v>418</v>
      </c>
      <c r="K693" s="130" t="s">
        <v>419</v>
      </c>
      <c r="L693" s="130" t="s">
        <v>63</v>
      </c>
      <c r="M693" s="130" t="s">
        <v>64</v>
      </c>
      <c r="N693" s="130" t="s">
        <v>15</v>
      </c>
      <c r="O693" s="130" t="s">
        <v>11</v>
      </c>
    </row>
    <row r="694" spans="1:15" s="218" customFormat="1" x14ac:dyDescent="0.25">
      <c r="A694" s="265">
        <v>6</v>
      </c>
      <c r="B694" s="265">
        <v>6</v>
      </c>
      <c r="C694" s="265" t="s">
        <v>1129</v>
      </c>
      <c r="D694" s="265">
        <v>3</v>
      </c>
      <c r="E694" s="265" t="s">
        <v>767</v>
      </c>
      <c r="F694" s="265">
        <v>0</v>
      </c>
      <c r="G694" s="265">
        <v>0</v>
      </c>
      <c r="H694" s="265">
        <v>0</v>
      </c>
      <c r="I694" s="266">
        <v>1160.474609375</v>
      </c>
      <c r="J694" s="265" t="s">
        <v>193</v>
      </c>
      <c r="K694" s="265" t="s">
        <v>194</v>
      </c>
      <c r="L694" s="265" t="s">
        <v>189</v>
      </c>
      <c r="M694" s="265" t="s">
        <v>190</v>
      </c>
      <c r="N694" s="265" t="s">
        <v>728</v>
      </c>
      <c r="O694" s="265" t="s">
        <v>11</v>
      </c>
    </row>
    <row r="695" spans="1:15" s="218" customFormat="1" x14ac:dyDescent="0.25">
      <c r="A695" s="265">
        <v>6</v>
      </c>
      <c r="B695" s="265">
        <v>6</v>
      </c>
      <c r="C695" s="265" t="s">
        <v>1129</v>
      </c>
      <c r="D695" s="265">
        <v>3</v>
      </c>
      <c r="E695" s="265" t="s">
        <v>767</v>
      </c>
      <c r="F695" s="265">
        <v>0</v>
      </c>
      <c r="G695" s="265">
        <v>0</v>
      </c>
      <c r="H695" s="265">
        <v>0</v>
      </c>
      <c r="I695" s="266">
        <v>673.9443359375</v>
      </c>
      <c r="J695" s="265" t="s">
        <v>175</v>
      </c>
      <c r="K695" s="265" t="s">
        <v>176</v>
      </c>
      <c r="L695" s="265" t="s">
        <v>80</v>
      </c>
      <c r="M695" s="265" t="s">
        <v>733</v>
      </c>
      <c r="N695" s="265" t="s">
        <v>728</v>
      </c>
      <c r="O695" s="265" t="s">
        <v>11</v>
      </c>
    </row>
    <row r="696" spans="1:15" s="264" customFormat="1" x14ac:dyDescent="0.25">
      <c r="A696" s="262">
        <v>6</v>
      </c>
      <c r="B696" s="262">
        <v>6</v>
      </c>
      <c r="C696" s="262" t="s">
        <v>1129</v>
      </c>
      <c r="D696" s="262">
        <v>3</v>
      </c>
      <c r="E696" s="262" t="s">
        <v>767</v>
      </c>
      <c r="F696" s="262">
        <v>0</v>
      </c>
      <c r="G696" s="262">
        <v>0</v>
      </c>
      <c r="H696" s="262">
        <v>0</v>
      </c>
      <c r="I696" s="263">
        <v>810617.462890625</v>
      </c>
      <c r="J696" s="262" t="s">
        <v>418</v>
      </c>
      <c r="K696" s="262" t="s">
        <v>419</v>
      </c>
      <c r="L696" s="262" t="s">
        <v>63</v>
      </c>
      <c r="M696" s="262" t="s">
        <v>64</v>
      </c>
      <c r="N696" s="262" t="s">
        <v>727</v>
      </c>
      <c r="O696" s="262" t="s">
        <v>11</v>
      </c>
    </row>
    <row r="697" spans="1:15" s="264" customFormat="1" x14ac:dyDescent="0.25">
      <c r="A697" s="262">
        <v>6</v>
      </c>
      <c r="B697" s="262">
        <v>6</v>
      </c>
      <c r="C697" s="262" t="s">
        <v>1129</v>
      </c>
      <c r="D697" s="262">
        <v>3</v>
      </c>
      <c r="E697" s="262" t="s">
        <v>767</v>
      </c>
      <c r="F697" s="262">
        <v>0</v>
      </c>
      <c r="G697" s="262">
        <v>0</v>
      </c>
      <c r="H697" s="262">
        <v>0</v>
      </c>
      <c r="I697" s="263">
        <v>179106.83203125</v>
      </c>
      <c r="J697" s="262" t="s">
        <v>361</v>
      </c>
      <c r="K697" s="262" t="s">
        <v>362</v>
      </c>
      <c r="L697" s="262" t="s">
        <v>33</v>
      </c>
      <c r="M697" s="262" t="s">
        <v>34</v>
      </c>
      <c r="N697" s="262" t="s">
        <v>727</v>
      </c>
      <c r="O697" s="262" t="s">
        <v>11</v>
      </c>
    </row>
    <row r="698" spans="1:15" s="28" customFormat="1" x14ac:dyDescent="0.25">
      <c r="A698" s="86">
        <v>6</v>
      </c>
      <c r="B698" s="86">
        <v>6</v>
      </c>
      <c r="C698" s="86" t="s">
        <v>1129</v>
      </c>
      <c r="D698" s="86">
        <v>3</v>
      </c>
      <c r="E698" s="86" t="s">
        <v>767</v>
      </c>
      <c r="F698" s="86">
        <v>0</v>
      </c>
      <c r="G698" s="86">
        <v>0</v>
      </c>
      <c r="H698" s="86">
        <v>0</v>
      </c>
      <c r="I698" s="87">
        <v>2062175.1308593701</v>
      </c>
      <c r="J698" s="86" t="s">
        <v>649</v>
      </c>
      <c r="K698" s="86" t="s">
        <v>650</v>
      </c>
      <c r="L698" s="86" t="s">
        <v>63</v>
      </c>
      <c r="M698" s="86" t="s">
        <v>64</v>
      </c>
      <c r="N698" s="86" t="s">
        <v>726</v>
      </c>
      <c r="O698" s="86" t="s">
        <v>105</v>
      </c>
    </row>
    <row r="699" spans="1:15" s="129" customFormat="1" x14ac:dyDescent="0.25">
      <c r="A699" s="130">
        <v>6</v>
      </c>
      <c r="B699" s="130">
        <v>6</v>
      </c>
      <c r="C699" s="130" t="s">
        <v>1129</v>
      </c>
      <c r="D699" s="130">
        <v>3</v>
      </c>
      <c r="E699" s="130" t="s">
        <v>767</v>
      </c>
      <c r="F699" s="130">
        <v>0</v>
      </c>
      <c r="G699" s="130">
        <v>0</v>
      </c>
      <c r="H699" s="130">
        <v>0</v>
      </c>
      <c r="I699" s="131">
        <v>2287068.9423828102</v>
      </c>
      <c r="J699" s="130" t="s">
        <v>686</v>
      </c>
      <c r="K699" s="130" t="s">
        <v>687</v>
      </c>
      <c r="L699" s="130" t="s">
        <v>63</v>
      </c>
      <c r="M699" s="130" t="s">
        <v>64</v>
      </c>
      <c r="N699" s="130" t="s">
        <v>15</v>
      </c>
      <c r="O699" s="130" t="s">
        <v>11</v>
      </c>
    </row>
    <row r="700" spans="1:15" s="218" customFormat="1" x14ac:dyDescent="0.25">
      <c r="A700" s="265">
        <v>6</v>
      </c>
      <c r="B700" s="265">
        <v>6</v>
      </c>
      <c r="C700" s="265" t="s">
        <v>1129</v>
      </c>
      <c r="D700" s="265">
        <v>3</v>
      </c>
      <c r="E700" s="265" t="s">
        <v>767</v>
      </c>
      <c r="F700" s="265">
        <v>0</v>
      </c>
      <c r="G700" s="265">
        <v>0</v>
      </c>
      <c r="H700" s="265">
        <v>0</v>
      </c>
      <c r="I700" s="266">
        <v>847154.96337890602</v>
      </c>
      <c r="J700" s="265" t="s">
        <v>468</v>
      </c>
      <c r="K700" s="265" t="s">
        <v>469</v>
      </c>
      <c r="L700" s="265" t="s">
        <v>75</v>
      </c>
      <c r="M700" s="265" t="s">
        <v>76</v>
      </c>
      <c r="N700" s="265" t="s">
        <v>728</v>
      </c>
      <c r="O700" s="265" t="s">
        <v>11</v>
      </c>
    </row>
    <row r="701" spans="1:15" s="218" customFormat="1" x14ac:dyDescent="0.25">
      <c r="A701" s="265">
        <v>6</v>
      </c>
      <c r="B701" s="265">
        <v>6</v>
      </c>
      <c r="C701" s="265" t="s">
        <v>1129</v>
      </c>
      <c r="D701" s="265">
        <v>3</v>
      </c>
      <c r="E701" s="265" t="s">
        <v>767</v>
      </c>
      <c r="F701" s="265">
        <v>0</v>
      </c>
      <c r="G701" s="265">
        <v>0</v>
      </c>
      <c r="H701" s="265">
        <v>0</v>
      </c>
      <c r="I701" s="266">
        <v>294437.54931640602</v>
      </c>
      <c r="J701" s="265" t="s">
        <v>383</v>
      </c>
      <c r="K701" s="265" t="s">
        <v>384</v>
      </c>
      <c r="L701" s="265" t="s">
        <v>189</v>
      </c>
      <c r="M701" s="265" t="s">
        <v>190</v>
      </c>
      <c r="N701" s="265" t="s">
        <v>728</v>
      </c>
      <c r="O701" s="265" t="s">
        <v>11</v>
      </c>
    </row>
    <row r="702" spans="1:15" s="218" customFormat="1" x14ac:dyDescent="0.25">
      <c r="A702" s="265">
        <v>6</v>
      </c>
      <c r="B702" s="265">
        <v>6</v>
      </c>
      <c r="C702" s="265" t="s">
        <v>1129</v>
      </c>
      <c r="D702" s="265">
        <v>3</v>
      </c>
      <c r="E702" s="265" t="s">
        <v>767</v>
      </c>
      <c r="F702" s="265">
        <v>0</v>
      </c>
      <c r="G702" s="265">
        <v>0</v>
      </c>
      <c r="H702" s="265">
        <v>0</v>
      </c>
      <c r="I702" s="266">
        <v>1440685.4057617099</v>
      </c>
      <c r="J702" s="265" t="s">
        <v>333</v>
      </c>
      <c r="K702" s="265" t="s">
        <v>334</v>
      </c>
      <c r="L702" s="265" t="s">
        <v>75</v>
      </c>
      <c r="M702" s="265" t="s">
        <v>76</v>
      </c>
      <c r="N702" s="265" t="s">
        <v>728</v>
      </c>
      <c r="O702" s="265" t="s">
        <v>11</v>
      </c>
    </row>
    <row r="703" spans="1:15" s="264" customFormat="1" x14ac:dyDescent="0.25">
      <c r="A703" s="262">
        <v>6</v>
      </c>
      <c r="B703" s="262">
        <v>6</v>
      </c>
      <c r="C703" s="262" t="s">
        <v>1129</v>
      </c>
      <c r="D703" s="262">
        <v>3</v>
      </c>
      <c r="E703" s="262" t="s">
        <v>767</v>
      </c>
      <c r="F703" s="262">
        <v>0</v>
      </c>
      <c r="G703" s="262">
        <v>0</v>
      </c>
      <c r="H703" s="262">
        <v>0</v>
      </c>
      <c r="I703" s="263">
        <v>34097.1513671875</v>
      </c>
      <c r="J703" s="262" t="s">
        <v>686</v>
      </c>
      <c r="K703" s="262" t="s">
        <v>687</v>
      </c>
      <c r="L703" s="262" t="s">
        <v>63</v>
      </c>
      <c r="M703" s="262" t="s">
        <v>64</v>
      </c>
      <c r="N703" s="262" t="s">
        <v>727</v>
      </c>
      <c r="O703" s="262" t="s">
        <v>11</v>
      </c>
    </row>
    <row r="704" spans="1:15" s="218" customFormat="1" x14ac:dyDescent="0.25">
      <c r="A704" s="265">
        <v>6</v>
      </c>
      <c r="B704" s="265">
        <v>6</v>
      </c>
      <c r="C704" s="265" t="s">
        <v>1129</v>
      </c>
      <c r="D704" s="265">
        <v>3</v>
      </c>
      <c r="E704" s="265" t="s">
        <v>767</v>
      </c>
      <c r="F704" s="265">
        <v>0</v>
      </c>
      <c r="G704" s="265">
        <v>0</v>
      </c>
      <c r="H704" s="265">
        <v>0</v>
      </c>
      <c r="I704" s="266">
        <v>1469813.4106445301</v>
      </c>
      <c r="J704" s="265" t="s">
        <v>153</v>
      </c>
      <c r="K704" s="265" t="s">
        <v>154</v>
      </c>
      <c r="L704" s="265" t="s">
        <v>80</v>
      </c>
      <c r="M704" s="265" t="s">
        <v>733</v>
      </c>
      <c r="N704" s="265" t="s">
        <v>728</v>
      </c>
      <c r="O704" s="265" t="s">
        <v>11</v>
      </c>
    </row>
    <row r="705" spans="1:15" s="264" customFormat="1" x14ac:dyDescent="0.25">
      <c r="A705" s="262">
        <v>6</v>
      </c>
      <c r="B705" s="262">
        <v>6</v>
      </c>
      <c r="C705" s="262" t="s">
        <v>1129</v>
      </c>
      <c r="D705" s="262">
        <v>3</v>
      </c>
      <c r="E705" s="262" t="s">
        <v>767</v>
      </c>
      <c r="F705" s="262">
        <v>0</v>
      </c>
      <c r="G705" s="262">
        <v>0</v>
      </c>
      <c r="H705" s="262">
        <v>0</v>
      </c>
      <c r="I705" s="263">
        <v>1940658.8159179599</v>
      </c>
      <c r="J705" s="262" t="s">
        <v>153</v>
      </c>
      <c r="K705" s="262" t="s">
        <v>154</v>
      </c>
      <c r="L705" s="262" t="s">
        <v>80</v>
      </c>
      <c r="M705" s="262" t="s">
        <v>733</v>
      </c>
      <c r="N705" s="262" t="s">
        <v>727</v>
      </c>
      <c r="O705" s="262" t="s">
        <v>11</v>
      </c>
    </row>
    <row r="706" spans="1:15" s="28" customFormat="1" x14ac:dyDescent="0.25">
      <c r="A706" s="86">
        <v>6</v>
      </c>
      <c r="B706" s="86">
        <v>6</v>
      </c>
      <c r="C706" s="86" t="s">
        <v>1129</v>
      </c>
      <c r="D706" s="86">
        <v>3</v>
      </c>
      <c r="E706" s="86" t="s">
        <v>767</v>
      </c>
      <c r="F706" s="86">
        <v>0</v>
      </c>
      <c r="G706" s="86">
        <v>0</v>
      </c>
      <c r="H706" s="86">
        <v>0</v>
      </c>
      <c r="I706" s="87">
        <v>1228617.61083984</v>
      </c>
      <c r="J706" s="86" t="s">
        <v>73</v>
      </c>
      <c r="K706" s="86" t="s">
        <v>74</v>
      </c>
      <c r="L706" s="86" t="s">
        <v>75</v>
      </c>
      <c r="M706" s="86" t="s">
        <v>76</v>
      </c>
      <c r="N706" s="86" t="s">
        <v>726</v>
      </c>
      <c r="O706" s="86" t="s">
        <v>105</v>
      </c>
    </row>
    <row r="707" spans="1:15" s="28" customFormat="1" x14ac:dyDescent="0.25">
      <c r="A707" s="86">
        <v>6</v>
      </c>
      <c r="B707" s="86">
        <v>6</v>
      </c>
      <c r="C707" s="86" t="s">
        <v>1129</v>
      </c>
      <c r="D707" s="86">
        <v>3</v>
      </c>
      <c r="E707" s="86" t="s">
        <v>767</v>
      </c>
      <c r="F707" s="86">
        <v>0</v>
      </c>
      <c r="G707" s="86">
        <v>0</v>
      </c>
      <c r="H707" s="86">
        <v>0</v>
      </c>
      <c r="I707" s="87">
        <v>2294215.9047851502</v>
      </c>
      <c r="J707" s="86" t="s">
        <v>599</v>
      </c>
      <c r="K707" s="86" t="s">
        <v>600</v>
      </c>
      <c r="L707" s="86" t="s">
        <v>75</v>
      </c>
      <c r="M707" s="86" t="s">
        <v>76</v>
      </c>
      <c r="N707" s="86" t="s">
        <v>726</v>
      </c>
      <c r="O707" s="86" t="s">
        <v>105</v>
      </c>
    </row>
    <row r="708" spans="1:15" s="28" customFormat="1" x14ac:dyDescent="0.25">
      <c r="A708" s="86">
        <v>6</v>
      </c>
      <c r="B708" s="86">
        <v>6</v>
      </c>
      <c r="C708" s="86" t="s">
        <v>1129</v>
      </c>
      <c r="D708" s="86">
        <v>3</v>
      </c>
      <c r="E708" s="86" t="s">
        <v>767</v>
      </c>
      <c r="F708" s="86">
        <v>0</v>
      </c>
      <c r="G708" s="86">
        <v>0</v>
      </c>
      <c r="H708" s="86">
        <v>0</v>
      </c>
      <c r="I708" s="87">
        <v>197692.79003906201</v>
      </c>
      <c r="J708" s="86" t="s">
        <v>724</v>
      </c>
      <c r="K708" s="86" t="s">
        <v>725</v>
      </c>
      <c r="L708" s="86" t="s">
        <v>63</v>
      </c>
      <c r="M708" s="86" t="s">
        <v>64</v>
      </c>
      <c r="N708" s="86" t="s">
        <v>726</v>
      </c>
      <c r="O708" s="86" t="s">
        <v>35</v>
      </c>
    </row>
    <row r="709" spans="1:15" s="28" customFormat="1" x14ac:dyDescent="0.25">
      <c r="A709" s="86">
        <v>7</v>
      </c>
      <c r="B709" s="86">
        <v>7</v>
      </c>
      <c r="C709" s="86" t="s">
        <v>937</v>
      </c>
      <c r="D709" s="86">
        <v>8</v>
      </c>
      <c r="E709" s="86" t="s">
        <v>938</v>
      </c>
      <c r="F709" s="86">
        <v>0</v>
      </c>
      <c r="G709" s="86">
        <v>0</v>
      </c>
      <c r="H709" s="86">
        <v>0</v>
      </c>
      <c r="I709" s="87">
        <v>491995.70068359299</v>
      </c>
      <c r="J709" s="86" t="s">
        <v>159</v>
      </c>
      <c r="K709" s="86" t="s">
        <v>160</v>
      </c>
      <c r="L709" s="86" t="s">
        <v>140</v>
      </c>
      <c r="M709" s="86" t="s">
        <v>734</v>
      </c>
      <c r="N709" s="86" t="s">
        <v>726</v>
      </c>
      <c r="O709" s="86" t="s">
        <v>35</v>
      </c>
    </row>
    <row r="710" spans="1:15" s="28" customFormat="1" x14ac:dyDescent="0.25">
      <c r="A710" s="86">
        <v>7</v>
      </c>
      <c r="B710" s="86">
        <v>7</v>
      </c>
      <c r="C710" s="86" t="s">
        <v>937</v>
      </c>
      <c r="D710" s="86">
        <v>8</v>
      </c>
      <c r="E710" s="86" t="s">
        <v>938</v>
      </c>
      <c r="F710" s="86">
        <v>0</v>
      </c>
      <c r="G710" s="86">
        <v>0</v>
      </c>
      <c r="H710" s="86">
        <v>0</v>
      </c>
      <c r="I710" s="87">
        <v>1079826.8447265599</v>
      </c>
      <c r="J710" s="86" t="s">
        <v>313</v>
      </c>
      <c r="K710" s="86" t="s">
        <v>314</v>
      </c>
      <c r="L710" s="86" t="s">
        <v>140</v>
      </c>
      <c r="M710" s="86" t="s">
        <v>734</v>
      </c>
      <c r="N710" s="86" t="s">
        <v>726</v>
      </c>
      <c r="O710" s="86" t="s">
        <v>35</v>
      </c>
    </row>
    <row r="711" spans="1:15" s="28" customFormat="1" x14ac:dyDescent="0.25">
      <c r="A711" s="86">
        <v>7</v>
      </c>
      <c r="B711" s="86">
        <v>7</v>
      </c>
      <c r="C711" s="86" t="s">
        <v>937</v>
      </c>
      <c r="D711" s="86">
        <v>8</v>
      </c>
      <c r="E711" s="86" t="s">
        <v>938</v>
      </c>
      <c r="F711" s="86">
        <v>0</v>
      </c>
      <c r="G711" s="86">
        <v>0</v>
      </c>
      <c r="H711" s="86">
        <v>0</v>
      </c>
      <c r="I711" s="87">
        <v>725481.37890625</v>
      </c>
      <c r="J711" s="86" t="s">
        <v>367</v>
      </c>
      <c r="K711" s="86" t="s">
        <v>368</v>
      </c>
      <c r="L711" s="86" t="s">
        <v>140</v>
      </c>
      <c r="M711" s="86" t="s">
        <v>734</v>
      </c>
      <c r="N711" s="86" t="s">
        <v>726</v>
      </c>
      <c r="O711" s="86" t="s">
        <v>35</v>
      </c>
    </row>
    <row r="712" spans="1:15" s="28" customFormat="1" x14ac:dyDescent="0.25">
      <c r="A712" s="86">
        <v>7</v>
      </c>
      <c r="B712" s="86">
        <v>7</v>
      </c>
      <c r="C712" s="86" t="s">
        <v>937</v>
      </c>
      <c r="D712" s="86">
        <v>8</v>
      </c>
      <c r="E712" s="86" t="s">
        <v>938</v>
      </c>
      <c r="F712" s="86">
        <v>0</v>
      </c>
      <c r="G712" s="86">
        <v>0</v>
      </c>
      <c r="H712" s="86">
        <v>0</v>
      </c>
      <c r="I712" s="87">
        <v>374684.88671875</v>
      </c>
      <c r="J712" s="86" t="s">
        <v>436</v>
      </c>
      <c r="K712" s="86" t="s">
        <v>437</v>
      </c>
      <c r="L712" s="86" t="s">
        <v>157</v>
      </c>
      <c r="M712" s="86" t="s">
        <v>158</v>
      </c>
      <c r="N712" s="86" t="s">
        <v>726</v>
      </c>
      <c r="O712" s="86" t="s">
        <v>35</v>
      </c>
    </row>
    <row r="713" spans="1:15" s="28" customFormat="1" x14ac:dyDescent="0.25">
      <c r="A713" s="86">
        <v>7</v>
      </c>
      <c r="B713" s="86">
        <v>7</v>
      </c>
      <c r="C713" s="86" t="s">
        <v>937</v>
      </c>
      <c r="D713" s="86">
        <v>8</v>
      </c>
      <c r="E713" s="86" t="s">
        <v>938</v>
      </c>
      <c r="F713" s="86">
        <v>0</v>
      </c>
      <c r="G713" s="86">
        <v>0</v>
      </c>
      <c r="H713" s="86">
        <v>0</v>
      </c>
      <c r="I713" s="87">
        <v>276471.638671875</v>
      </c>
      <c r="J713" s="86" t="s">
        <v>488</v>
      </c>
      <c r="K713" s="86" t="s">
        <v>489</v>
      </c>
      <c r="L713" s="86" t="s">
        <v>157</v>
      </c>
      <c r="M713" s="86" t="s">
        <v>158</v>
      </c>
      <c r="N713" s="86" t="s">
        <v>726</v>
      </c>
      <c r="O713" s="86" t="s">
        <v>35</v>
      </c>
    </row>
    <row r="714" spans="1:15" s="28" customFormat="1" x14ac:dyDescent="0.25">
      <c r="A714" s="86">
        <v>7</v>
      </c>
      <c r="B714" s="86">
        <v>7</v>
      </c>
      <c r="C714" s="86" t="s">
        <v>937</v>
      </c>
      <c r="D714" s="86">
        <v>8</v>
      </c>
      <c r="E714" s="86" t="s">
        <v>938</v>
      </c>
      <c r="F714" s="86">
        <v>0</v>
      </c>
      <c r="G714" s="86">
        <v>0</v>
      </c>
      <c r="H714" s="86">
        <v>0</v>
      </c>
      <c r="I714" s="87">
        <v>9747.619140625</v>
      </c>
      <c r="J714" s="86" t="s">
        <v>159</v>
      </c>
      <c r="K714" s="86" t="s">
        <v>160</v>
      </c>
      <c r="L714" s="86" t="s">
        <v>140</v>
      </c>
      <c r="M714" s="86" t="s">
        <v>734</v>
      </c>
      <c r="N714" s="86" t="s">
        <v>726</v>
      </c>
      <c r="O714" s="86" t="s">
        <v>105</v>
      </c>
    </row>
    <row r="715" spans="1:15" s="28" customFormat="1" x14ac:dyDescent="0.25">
      <c r="A715" s="86">
        <v>7</v>
      </c>
      <c r="B715" s="86">
        <v>7</v>
      </c>
      <c r="C715" s="86" t="s">
        <v>937</v>
      </c>
      <c r="D715" s="86">
        <v>8</v>
      </c>
      <c r="E715" s="86" t="s">
        <v>938</v>
      </c>
      <c r="F715" s="86">
        <v>0</v>
      </c>
      <c r="G715" s="86">
        <v>0</v>
      </c>
      <c r="H715" s="86">
        <v>0</v>
      </c>
      <c r="I715" s="87">
        <v>5977.9697265625</v>
      </c>
      <c r="J715" s="86" t="s">
        <v>490</v>
      </c>
      <c r="K715" s="86" t="s">
        <v>491</v>
      </c>
      <c r="L715" s="86" t="s">
        <v>140</v>
      </c>
      <c r="M715" s="86" t="s">
        <v>734</v>
      </c>
      <c r="N715" s="86" t="s">
        <v>726</v>
      </c>
      <c r="O715" s="86" t="s">
        <v>35</v>
      </c>
    </row>
    <row r="716" spans="1:15" s="129" customFormat="1" x14ac:dyDescent="0.25">
      <c r="A716" s="130">
        <v>7</v>
      </c>
      <c r="B716" s="130">
        <v>7</v>
      </c>
      <c r="C716" s="130" t="s">
        <v>937</v>
      </c>
      <c r="D716" s="130">
        <v>8</v>
      </c>
      <c r="E716" s="130" t="s">
        <v>938</v>
      </c>
      <c r="F716" s="130">
        <v>0</v>
      </c>
      <c r="G716" s="130">
        <v>0</v>
      </c>
      <c r="H716" s="130">
        <v>0</v>
      </c>
      <c r="I716" s="131">
        <v>225102.046875</v>
      </c>
      <c r="J716" s="130" t="s">
        <v>490</v>
      </c>
      <c r="K716" s="130" t="s">
        <v>491</v>
      </c>
      <c r="L716" s="130" t="s">
        <v>140</v>
      </c>
      <c r="M716" s="130" t="s">
        <v>734</v>
      </c>
      <c r="N716" s="130" t="s">
        <v>15</v>
      </c>
      <c r="O716" s="130" t="s">
        <v>11</v>
      </c>
    </row>
    <row r="717" spans="1:15" s="28" customFormat="1" x14ac:dyDescent="0.25">
      <c r="A717" s="86">
        <v>7</v>
      </c>
      <c r="B717" s="86">
        <v>7</v>
      </c>
      <c r="C717" s="86" t="s">
        <v>937</v>
      </c>
      <c r="D717" s="86">
        <v>8</v>
      </c>
      <c r="E717" s="86" t="s">
        <v>938</v>
      </c>
      <c r="F717" s="86">
        <v>0</v>
      </c>
      <c r="G717" s="86">
        <v>0</v>
      </c>
      <c r="H717" s="86">
        <v>0</v>
      </c>
      <c r="I717" s="87">
        <v>83119.1396484375</v>
      </c>
      <c r="J717" s="86" t="s">
        <v>597</v>
      </c>
      <c r="K717" s="86" t="s">
        <v>598</v>
      </c>
      <c r="L717" s="86" t="s">
        <v>140</v>
      </c>
      <c r="M717" s="86" t="s">
        <v>734</v>
      </c>
      <c r="N717" s="86" t="s">
        <v>726</v>
      </c>
      <c r="O717" s="86" t="s">
        <v>35</v>
      </c>
    </row>
    <row r="718" spans="1:15" s="28" customFormat="1" x14ac:dyDescent="0.25">
      <c r="A718" s="86">
        <v>7</v>
      </c>
      <c r="B718" s="86">
        <v>7</v>
      </c>
      <c r="C718" s="86" t="s">
        <v>937</v>
      </c>
      <c r="D718" s="86">
        <v>8</v>
      </c>
      <c r="E718" s="86" t="s">
        <v>938</v>
      </c>
      <c r="F718" s="86">
        <v>0</v>
      </c>
      <c r="G718" s="86">
        <v>0</v>
      </c>
      <c r="H718" s="86">
        <v>0</v>
      </c>
      <c r="I718" s="87">
        <v>7576.59375</v>
      </c>
      <c r="J718" s="86" t="s">
        <v>613</v>
      </c>
      <c r="K718" s="86" t="s">
        <v>614</v>
      </c>
      <c r="L718" s="86" t="s">
        <v>140</v>
      </c>
      <c r="M718" s="86" t="s">
        <v>734</v>
      </c>
      <c r="N718" s="86" t="s">
        <v>726</v>
      </c>
      <c r="O718" s="86" t="s">
        <v>105</v>
      </c>
    </row>
    <row r="719" spans="1:15" s="28" customFormat="1" x14ac:dyDescent="0.25">
      <c r="A719" s="86">
        <v>7</v>
      </c>
      <c r="B719" s="86">
        <v>7</v>
      </c>
      <c r="C719" s="86" t="s">
        <v>937</v>
      </c>
      <c r="D719" s="86">
        <v>8</v>
      </c>
      <c r="E719" s="86" t="s">
        <v>938</v>
      </c>
      <c r="F719" s="86">
        <v>0</v>
      </c>
      <c r="G719" s="86">
        <v>0</v>
      </c>
      <c r="H719" s="86">
        <v>0</v>
      </c>
      <c r="I719" s="87">
        <v>211293.11767578099</v>
      </c>
      <c r="J719" s="86" t="s">
        <v>613</v>
      </c>
      <c r="K719" s="86" t="s">
        <v>614</v>
      </c>
      <c r="L719" s="86" t="s">
        <v>140</v>
      </c>
      <c r="M719" s="86" t="s">
        <v>734</v>
      </c>
      <c r="N719" s="86" t="s">
        <v>726</v>
      </c>
      <c r="O719" s="86" t="s">
        <v>35</v>
      </c>
    </row>
    <row r="720" spans="1:15" s="28" customFormat="1" x14ac:dyDescent="0.25">
      <c r="A720" s="86">
        <v>7</v>
      </c>
      <c r="B720" s="86">
        <v>7</v>
      </c>
      <c r="C720" s="86" t="s">
        <v>937</v>
      </c>
      <c r="D720" s="86">
        <v>8</v>
      </c>
      <c r="E720" s="86" t="s">
        <v>938</v>
      </c>
      <c r="F720" s="86">
        <v>0</v>
      </c>
      <c r="G720" s="86">
        <v>0</v>
      </c>
      <c r="H720" s="86">
        <v>0</v>
      </c>
      <c r="I720" s="87">
        <v>2126110.5043945299</v>
      </c>
      <c r="J720" s="86" t="s">
        <v>698</v>
      </c>
      <c r="K720" s="86" t="s">
        <v>699</v>
      </c>
      <c r="L720" s="86" t="s">
        <v>140</v>
      </c>
      <c r="M720" s="86" t="s">
        <v>734</v>
      </c>
      <c r="N720" s="86" t="s">
        <v>726</v>
      </c>
      <c r="O720" s="86" t="s">
        <v>35</v>
      </c>
    </row>
    <row r="721" spans="1:15" s="28" customFormat="1" x14ac:dyDescent="0.25">
      <c r="A721" s="86">
        <v>7</v>
      </c>
      <c r="B721" s="86">
        <v>7</v>
      </c>
      <c r="C721" s="86" t="s">
        <v>937</v>
      </c>
      <c r="D721" s="86">
        <v>8</v>
      </c>
      <c r="E721" s="86" t="s">
        <v>938</v>
      </c>
      <c r="F721" s="86">
        <v>0</v>
      </c>
      <c r="G721" s="86">
        <v>0</v>
      </c>
      <c r="H721" s="86">
        <v>0</v>
      </c>
      <c r="I721" s="87">
        <v>14627.9697265625</v>
      </c>
      <c r="J721" s="86" t="s">
        <v>698</v>
      </c>
      <c r="K721" s="86" t="s">
        <v>699</v>
      </c>
      <c r="L721" s="86" t="s">
        <v>140</v>
      </c>
      <c r="M721" s="86" t="s">
        <v>734</v>
      </c>
      <c r="N721" s="86" t="s">
        <v>726</v>
      </c>
      <c r="O721" s="86" t="s">
        <v>105</v>
      </c>
    </row>
    <row r="722" spans="1:15" s="28" customFormat="1" x14ac:dyDescent="0.25">
      <c r="A722" s="86">
        <v>8</v>
      </c>
      <c r="B722" s="86">
        <v>8</v>
      </c>
      <c r="C722" s="86" t="s">
        <v>1123</v>
      </c>
      <c r="D722" s="86">
        <v>7</v>
      </c>
      <c r="E722" s="86" t="s">
        <v>766</v>
      </c>
      <c r="F722" s="86">
        <v>1</v>
      </c>
      <c r="G722" s="86">
        <v>1</v>
      </c>
      <c r="H722" s="86">
        <v>1</v>
      </c>
      <c r="I722" s="87">
        <v>329296.50244140602</v>
      </c>
      <c r="J722" s="86" t="s">
        <v>155</v>
      </c>
      <c r="K722" s="86" t="s">
        <v>156</v>
      </c>
      <c r="L722" s="86" t="s">
        <v>157</v>
      </c>
      <c r="M722" s="86" t="s">
        <v>158</v>
      </c>
      <c r="N722" s="86" t="s">
        <v>726</v>
      </c>
      <c r="O722" s="86" t="s">
        <v>35</v>
      </c>
    </row>
    <row r="723" spans="1:15" s="28" customFormat="1" x14ac:dyDescent="0.25">
      <c r="A723" s="86">
        <v>8</v>
      </c>
      <c r="B723" s="86">
        <v>8</v>
      </c>
      <c r="C723" s="86" t="s">
        <v>1123</v>
      </c>
      <c r="D723" s="86">
        <v>7</v>
      </c>
      <c r="E723" s="86" t="s">
        <v>766</v>
      </c>
      <c r="F723" s="86">
        <v>1</v>
      </c>
      <c r="G723" s="86">
        <v>1</v>
      </c>
      <c r="H723" s="86">
        <v>1</v>
      </c>
      <c r="I723" s="87">
        <v>1476485.64208984</v>
      </c>
      <c r="J723" s="86" t="s">
        <v>337</v>
      </c>
      <c r="K723" s="86" t="s">
        <v>338</v>
      </c>
      <c r="L723" s="86" t="s">
        <v>140</v>
      </c>
      <c r="M723" s="86" t="s">
        <v>734</v>
      </c>
      <c r="N723" s="86" t="s">
        <v>726</v>
      </c>
      <c r="O723" s="86" t="s">
        <v>35</v>
      </c>
    </row>
    <row r="724" spans="1:15" s="28" customFormat="1" x14ac:dyDescent="0.25">
      <c r="A724" s="86">
        <v>8</v>
      </c>
      <c r="B724" s="86">
        <v>8</v>
      </c>
      <c r="C724" s="86" t="s">
        <v>1123</v>
      </c>
      <c r="D724" s="86">
        <v>7</v>
      </c>
      <c r="E724" s="86" t="s">
        <v>766</v>
      </c>
      <c r="F724" s="86">
        <v>1</v>
      </c>
      <c r="G724" s="86">
        <v>1</v>
      </c>
      <c r="H724" s="86">
        <v>1</v>
      </c>
      <c r="I724" s="87">
        <v>489970.71582031198</v>
      </c>
      <c r="J724" s="86" t="s">
        <v>395</v>
      </c>
      <c r="K724" s="86" t="s">
        <v>396</v>
      </c>
      <c r="L724" s="86" t="s">
        <v>157</v>
      </c>
      <c r="M724" s="86" t="s">
        <v>158</v>
      </c>
      <c r="N724" s="86" t="s">
        <v>726</v>
      </c>
      <c r="O724" s="86" t="s">
        <v>35</v>
      </c>
    </row>
    <row r="725" spans="1:15" s="28" customFormat="1" x14ac:dyDescent="0.25">
      <c r="A725" s="86">
        <v>8</v>
      </c>
      <c r="B725" s="86">
        <v>8</v>
      </c>
      <c r="C725" s="86" t="s">
        <v>1123</v>
      </c>
      <c r="D725" s="86">
        <v>7</v>
      </c>
      <c r="E725" s="86" t="s">
        <v>766</v>
      </c>
      <c r="F725" s="86">
        <v>1</v>
      </c>
      <c r="G725" s="86">
        <v>1</v>
      </c>
      <c r="H725" s="86">
        <v>1</v>
      </c>
      <c r="I725" s="87">
        <v>401961.21972656198</v>
      </c>
      <c r="J725" s="86" t="s">
        <v>397</v>
      </c>
      <c r="K725" s="86" t="s">
        <v>398</v>
      </c>
      <c r="L725" s="86" t="s">
        <v>157</v>
      </c>
      <c r="M725" s="86" t="s">
        <v>158</v>
      </c>
      <c r="N725" s="86" t="s">
        <v>726</v>
      </c>
      <c r="O725" s="86" t="s">
        <v>35</v>
      </c>
    </row>
    <row r="726" spans="1:15" s="28" customFormat="1" x14ac:dyDescent="0.25">
      <c r="A726" s="86">
        <v>8</v>
      </c>
      <c r="B726" s="86">
        <v>8</v>
      </c>
      <c r="C726" s="86" t="s">
        <v>1123</v>
      </c>
      <c r="D726" s="86">
        <v>7</v>
      </c>
      <c r="E726" s="86" t="s">
        <v>766</v>
      </c>
      <c r="F726" s="86">
        <v>1</v>
      </c>
      <c r="G726" s="86">
        <v>1</v>
      </c>
      <c r="H726" s="86">
        <v>1</v>
      </c>
      <c r="I726" s="87">
        <v>691323.958984375</v>
      </c>
      <c r="J726" s="86" t="s">
        <v>407</v>
      </c>
      <c r="K726" s="86" t="s">
        <v>408</v>
      </c>
      <c r="L726" s="86" t="s">
        <v>157</v>
      </c>
      <c r="M726" s="86" t="s">
        <v>158</v>
      </c>
      <c r="N726" s="86" t="s">
        <v>726</v>
      </c>
      <c r="O726" s="86" t="s">
        <v>35</v>
      </c>
    </row>
    <row r="727" spans="1:15" s="28" customFormat="1" x14ac:dyDescent="0.25">
      <c r="A727" s="86">
        <v>8</v>
      </c>
      <c r="B727" s="86">
        <v>8</v>
      </c>
      <c r="C727" s="86" t="s">
        <v>1123</v>
      </c>
      <c r="D727" s="86">
        <v>7</v>
      </c>
      <c r="E727" s="86" t="s">
        <v>766</v>
      </c>
      <c r="F727" s="86">
        <v>1</v>
      </c>
      <c r="G727" s="86">
        <v>1</v>
      </c>
      <c r="H727" s="86">
        <v>1</v>
      </c>
      <c r="I727" s="87">
        <v>1638050.2666015599</v>
      </c>
      <c r="J727" s="86" t="s">
        <v>409</v>
      </c>
      <c r="K727" s="86" t="s">
        <v>410</v>
      </c>
      <c r="L727" s="86" t="s">
        <v>411</v>
      </c>
      <c r="M727" s="86" t="s">
        <v>1124</v>
      </c>
      <c r="N727" s="86" t="s">
        <v>726</v>
      </c>
      <c r="O727" s="86" t="s">
        <v>35</v>
      </c>
    </row>
    <row r="728" spans="1:15" s="28" customFormat="1" x14ac:dyDescent="0.25">
      <c r="A728" s="86">
        <v>8</v>
      </c>
      <c r="B728" s="86">
        <v>8</v>
      </c>
      <c r="C728" s="86" t="s">
        <v>1123</v>
      </c>
      <c r="D728" s="86">
        <v>7</v>
      </c>
      <c r="E728" s="86" t="s">
        <v>766</v>
      </c>
      <c r="F728" s="86">
        <v>1</v>
      </c>
      <c r="G728" s="86">
        <v>1</v>
      </c>
      <c r="H728" s="86">
        <v>1</v>
      </c>
      <c r="I728" s="87">
        <v>628201.203125</v>
      </c>
      <c r="J728" s="86" t="s">
        <v>430</v>
      </c>
      <c r="K728" s="86" t="s">
        <v>431</v>
      </c>
      <c r="L728" s="86" t="s">
        <v>157</v>
      </c>
      <c r="M728" s="86" t="s">
        <v>158</v>
      </c>
      <c r="N728" s="86" t="s">
        <v>726</v>
      </c>
      <c r="O728" s="86" t="s">
        <v>35</v>
      </c>
    </row>
    <row r="729" spans="1:15" s="28" customFormat="1" x14ac:dyDescent="0.25">
      <c r="A729" s="86">
        <v>8</v>
      </c>
      <c r="B729" s="86">
        <v>8</v>
      </c>
      <c r="C729" s="86" t="s">
        <v>1123</v>
      </c>
      <c r="D729" s="86">
        <v>7</v>
      </c>
      <c r="E729" s="86" t="s">
        <v>766</v>
      </c>
      <c r="F729" s="86">
        <v>1</v>
      </c>
      <c r="G729" s="86">
        <v>1</v>
      </c>
      <c r="H729" s="86">
        <v>1</v>
      </c>
      <c r="I729" s="87">
        <v>620404.48681640602</v>
      </c>
      <c r="J729" s="86" t="s">
        <v>436</v>
      </c>
      <c r="K729" s="86" t="s">
        <v>437</v>
      </c>
      <c r="L729" s="86" t="s">
        <v>157</v>
      </c>
      <c r="M729" s="86" t="s">
        <v>158</v>
      </c>
      <c r="N729" s="86" t="s">
        <v>726</v>
      </c>
      <c r="O729" s="86" t="s">
        <v>35</v>
      </c>
    </row>
    <row r="730" spans="1:15" s="28" customFormat="1" x14ac:dyDescent="0.25">
      <c r="A730" s="86">
        <v>8</v>
      </c>
      <c r="B730" s="86">
        <v>8</v>
      </c>
      <c r="C730" s="86" t="s">
        <v>1123</v>
      </c>
      <c r="D730" s="86">
        <v>7</v>
      </c>
      <c r="E730" s="86" t="s">
        <v>766</v>
      </c>
      <c r="F730" s="86">
        <v>1</v>
      </c>
      <c r="G730" s="86">
        <v>1</v>
      </c>
      <c r="H730" s="86">
        <v>1</v>
      </c>
      <c r="I730" s="87">
        <v>410065.56591796799</v>
      </c>
      <c r="J730" s="86" t="s">
        <v>440</v>
      </c>
      <c r="K730" s="86" t="s">
        <v>441</v>
      </c>
      <c r="L730" s="86" t="s">
        <v>157</v>
      </c>
      <c r="M730" s="86" t="s">
        <v>158</v>
      </c>
      <c r="N730" s="86" t="s">
        <v>726</v>
      </c>
      <c r="O730" s="86" t="s">
        <v>35</v>
      </c>
    </row>
    <row r="731" spans="1:15" s="28" customFormat="1" x14ac:dyDescent="0.25">
      <c r="A731" s="86">
        <v>8</v>
      </c>
      <c r="B731" s="86">
        <v>8</v>
      </c>
      <c r="C731" s="86" t="s">
        <v>1123</v>
      </c>
      <c r="D731" s="86">
        <v>7</v>
      </c>
      <c r="E731" s="86" t="s">
        <v>766</v>
      </c>
      <c r="F731" s="86">
        <v>1</v>
      </c>
      <c r="G731" s="86">
        <v>1</v>
      </c>
      <c r="H731" s="86">
        <v>1</v>
      </c>
      <c r="I731" s="87">
        <v>540989.181640625</v>
      </c>
      <c r="J731" s="86" t="s">
        <v>462</v>
      </c>
      <c r="K731" s="86" t="s">
        <v>463</v>
      </c>
      <c r="L731" s="86" t="s">
        <v>157</v>
      </c>
      <c r="M731" s="86" t="s">
        <v>158</v>
      </c>
      <c r="N731" s="86" t="s">
        <v>726</v>
      </c>
      <c r="O731" s="86" t="s">
        <v>35</v>
      </c>
    </row>
    <row r="732" spans="1:15" s="28" customFormat="1" x14ac:dyDescent="0.25">
      <c r="A732" s="86">
        <v>8</v>
      </c>
      <c r="B732" s="86">
        <v>8</v>
      </c>
      <c r="C732" s="86" t="s">
        <v>1123</v>
      </c>
      <c r="D732" s="86">
        <v>7</v>
      </c>
      <c r="E732" s="86" t="s">
        <v>766</v>
      </c>
      <c r="F732" s="86">
        <v>1</v>
      </c>
      <c r="G732" s="86">
        <v>1</v>
      </c>
      <c r="H732" s="86">
        <v>1</v>
      </c>
      <c r="I732" s="87">
        <v>590220.09228515602</v>
      </c>
      <c r="J732" s="86" t="s">
        <v>488</v>
      </c>
      <c r="K732" s="86" t="s">
        <v>489</v>
      </c>
      <c r="L732" s="86" t="s">
        <v>157</v>
      </c>
      <c r="M732" s="86" t="s">
        <v>158</v>
      </c>
      <c r="N732" s="86" t="s">
        <v>726</v>
      </c>
      <c r="O732" s="86" t="s">
        <v>35</v>
      </c>
    </row>
    <row r="733" spans="1:15" s="218" customFormat="1" x14ac:dyDescent="0.25">
      <c r="A733" s="265">
        <v>8</v>
      </c>
      <c r="B733" s="265">
        <v>8</v>
      </c>
      <c r="C733" s="265" t="s">
        <v>1123</v>
      </c>
      <c r="D733" s="265">
        <v>7</v>
      </c>
      <c r="E733" s="265" t="s">
        <v>766</v>
      </c>
      <c r="F733" s="265">
        <v>1</v>
      </c>
      <c r="G733" s="265">
        <v>1</v>
      </c>
      <c r="H733" s="265">
        <v>1</v>
      </c>
      <c r="I733" s="266">
        <v>564373.13916015602</v>
      </c>
      <c r="J733" s="265" t="s">
        <v>490</v>
      </c>
      <c r="K733" s="265" t="s">
        <v>491</v>
      </c>
      <c r="L733" s="265" t="s">
        <v>140</v>
      </c>
      <c r="M733" s="265" t="s">
        <v>734</v>
      </c>
      <c r="N733" s="265" t="s">
        <v>728</v>
      </c>
      <c r="O733" s="265" t="s">
        <v>11</v>
      </c>
    </row>
    <row r="734" spans="1:15" s="264" customFormat="1" x14ac:dyDescent="0.25">
      <c r="A734" s="262">
        <v>8</v>
      </c>
      <c r="B734" s="262">
        <v>8</v>
      </c>
      <c r="C734" s="262" t="s">
        <v>1123</v>
      </c>
      <c r="D734" s="262">
        <v>7</v>
      </c>
      <c r="E734" s="262" t="s">
        <v>766</v>
      </c>
      <c r="F734" s="262">
        <v>1</v>
      </c>
      <c r="G734" s="262">
        <v>1</v>
      </c>
      <c r="H734" s="262">
        <v>1</v>
      </c>
      <c r="I734" s="263">
        <v>42844.6025390625</v>
      </c>
      <c r="J734" s="262" t="s">
        <v>490</v>
      </c>
      <c r="K734" s="262" t="s">
        <v>491</v>
      </c>
      <c r="L734" s="262" t="s">
        <v>140</v>
      </c>
      <c r="M734" s="262" t="s">
        <v>734</v>
      </c>
      <c r="N734" s="262" t="s">
        <v>727</v>
      </c>
      <c r="O734" s="262" t="s">
        <v>11</v>
      </c>
    </row>
    <row r="735" spans="1:15" s="28" customFormat="1" x14ac:dyDescent="0.25">
      <c r="A735" s="86">
        <v>8</v>
      </c>
      <c r="B735" s="86">
        <v>8</v>
      </c>
      <c r="C735" s="86" t="s">
        <v>1123</v>
      </c>
      <c r="D735" s="86">
        <v>7</v>
      </c>
      <c r="E735" s="86" t="s">
        <v>766</v>
      </c>
      <c r="F735" s="86">
        <v>1</v>
      </c>
      <c r="G735" s="86">
        <v>1</v>
      </c>
      <c r="H735" s="86">
        <v>1</v>
      </c>
      <c r="I735" s="87">
        <v>314745.6796875</v>
      </c>
      <c r="J735" s="86" t="s">
        <v>533</v>
      </c>
      <c r="K735" s="86" t="s">
        <v>534</v>
      </c>
      <c r="L735" s="86" t="s">
        <v>411</v>
      </c>
      <c r="M735" s="86" t="s">
        <v>1124</v>
      </c>
      <c r="N735" s="86" t="s">
        <v>726</v>
      </c>
      <c r="O735" s="86" t="s">
        <v>35</v>
      </c>
    </row>
    <row r="736" spans="1:15" s="28" customFormat="1" x14ac:dyDescent="0.25">
      <c r="A736" s="86">
        <v>8</v>
      </c>
      <c r="B736" s="86">
        <v>8</v>
      </c>
      <c r="C736" s="86" t="s">
        <v>1123</v>
      </c>
      <c r="D736" s="86">
        <v>7</v>
      </c>
      <c r="E736" s="86" t="s">
        <v>766</v>
      </c>
      <c r="F736" s="86">
        <v>1</v>
      </c>
      <c r="G736" s="86">
        <v>1</v>
      </c>
      <c r="H736" s="86">
        <v>1</v>
      </c>
      <c r="I736" s="87">
        <v>747861.13818359305</v>
      </c>
      <c r="J736" s="86" t="s">
        <v>490</v>
      </c>
      <c r="K736" s="86" t="s">
        <v>491</v>
      </c>
      <c r="L736" s="86" t="s">
        <v>140</v>
      </c>
      <c r="M736" s="86" t="s">
        <v>734</v>
      </c>
      <c r="N736" s="86" t="s">
        <v>726</v>
      </c>
      <c r="O736" s="86" t="s">
        <v>35</v>
      </c>
    </row>
    <row r="737" spans="1:15" s="129" customFormat="1" x14ac:dyDescent="0.25">
      <c r="A737" s="130">
        <v>8</v>
      </c>
      <c r="B737" s="130">
        <v>8</v>
      </c>
      <c r="C737" s="130" t="s">
        <v>1123</v>
      </c>
      <c r="D737" s="130">
        <v>7</v>
      </c>
      <c r="E737" s="130" t="s">
        <v>766</v>
      </c>
      <c r="F737" s="130">
        <v>1</v>
      </c>
      <c r="G737" s="130">
        <v>1</v>
      </c>
      <c r="H737" s="130">
        <v>1</v>
      </c>
      <c r="I737" s="131">
        <v>2162555.45214843</v>
      </c>
      <c r="J737" s="130" t="s">
        <v>490</v>
      </c>
      <c r="K737" s="130" t="s">
        <v>491</v>
      </c>
      <c r="L737" s="130" t="s">
        <v>140</v>
      </c>
      <c r="M737" s="130" t="s">
        <v>734</v>
      </c>
      <c r="N737" s="130" t="s">
        <v>15</v>
      </c>
      <c r="O737" s="130" t="s">
        <v>11</v>
      </c>
    </row>
    <row r="738" spans="1:15" s="28" customFormat="1" x14ac:dyDescent="0.25">
      <c r="A738" s="86">
        <v>8</v>
      </c>
      <c r="B738" s="86">
        <v>8</v>
      </c>
      <c r="C738" s="86" t="s">
        <v>1123</v>
      </c>
      <c r="D738" s="86">
        <v>7</v>
      </c>
      <c r="E738" s="86" t="s">
        <v>766</v>
      </c>
      <c r="F738" s="86">
        <v>1</v>
      </c>
      <c r="G738" s="86">
        <v>1</v>
      </c>
      <c r="H738" s="86">
        <v>1</v>
      </c>
      <c r="I738" s="87">
        <v>252030.84326171799</v>
      </c>
      <c r="J738" s="86" t="s">
        <v>585</v>
      </c>
      <c r="K738" s="86" t="s">
        <v>586</v>
      </c>
      <c r="L738" s="86" t="s">
        <v>157</v>
      </c>
      <c r="M738" s="86" t="s">
        <v>158</v>
      </c>
      <c r="N738" s="86" t="s">
        <v>726</v>
      </c>
      <c r="O738" s="86" t="s">
        <v>35</v>
      </c>
    </row>
    <row r="739" spans="1:15" s="28" customFormat="1" x14ac:dyDescent="0.25">
      <c r="A739" s="86">
        <v>8</v>
      </c>
      <c r="B739" s="86">
        <v>8</v>
      </c>
      <c r="C739" s="86" t="s">
        <v>1123</v>
      </c>
      <c r="D739" s="86">
        <v>7</v>
      </c>
      <c r="E739" s="86" t="s">
        <v>766</v>
      </c>
      <c r="F739" s="86">
        <v>1</v>
      </c>
      <c r="G739" s="86">
        <v>1</v>
      </c>
      <c r="H739" s="86">
        <v>1</v>
      </c>
      <c r="I739" s="87">
        <v>654877.46923828102</v>
      </c>
      <c r="J739" s="86" t="s">
        <v>601</v>
      </c>
      <c r="K739" s="86" t="s">
        <v>602</v>
      </c>
      <c r="L739" s="86" t="s">
        <v>411</v>
      </c>
      <c r="M739" s="86" t="s">
        <v>1124</v>
      </c>
      <c r="N739" s="86" t="s">
        <v>726</v>
      </c>
      <c r="O739" s="86" t="s">
        <v>35</v>
      </c>
    </row>
    <row r="740" spans="1:15" s="28" customFormat="1" x14ac:dyDescent="0.25">
      <c r="A740" s="86">
        <v>8</v>
      </c>
      <c r="B740" s="86">
        <v>8</v>
      </c>
      <c r="C740" s="86" t="s">
        <v>1123</v>
      </c>
      <c r="D740" s="86">
        <v>7</v>
      </c>
      <c r="E740" s="86" t="s">
        <v>766</v>
      </c>
      <c r="F740" s="86">
        <v>1</v>
      </c>
      <c r="G740" s="86">
        <v>1</v>
      </c>
      <c r="H740" s="86">
        <v>1</v>
      </c>
      <c r="I740" s="87">
        <v>381757.79785156198</v>
      </c>
      <c r="J740" s="86" t="s">
        <v>621</v>
      </c>
      <c r="K740" s="86" t="s">
        <v>622</v>
      </c>
      <c r="L740" s="86" t="s">
        <v>157</v>
      </c>
      <c r="M740" s="86" t="s">
        <v>158</v>
      </c>
      <c r="N740" s="86" t="s">
        <v>726</v>
      </c>
      <c r="O740" s="86" t="s">
        <v>35</v>
      </c>
    </row>
    <row r="741" spans="1:15" s="28" customFormat="1" x14ac:dyDescent="0.25">
      <c r="A741" s="86">
        <v>8</v>
      </c>
      <c r="B741" s="86">
        <v>8</v>
      </c>
      <c r="C741" s="86" t="s">
        <v>1123</v>
      </c>
      <c r="D741" s="86">
        <v>7</v>
      </c>
      <c r="E741" s="86" t="s">
        <v>766</v>
      </c>
      <c r="F741" s="86">
        <v>1</v>
      </c>
      <c r="G741" s="86">
        <v>1</v>
      </c>
      <c r="H741" s="86">
        <v>1</v>
      </c>
      <c r="I741" s="87">
        <v>956332.54296875</v>
      </c>
      <c r="J741" s="86" t="s">
        <v>625</v>
      </c>
      <c r="K741" s="86" t="s">
        <v>626</v>
      </c>
      <c r="L741" s="86" t="s">
        <v>411</v>
      </c>
      <c r="M741" s="86" t="s">
        <v>1124</v>
      </c>
      <c r="N741" s="86" t="s">
        <v>726</v>
      </c>
      <c r="O741" s="86" t="s">
        <v>35</v>
      </c>
    </row>
    <row r="742" spans="1:15" s="28" customFormat="1" x14ac:dyDescent="0.25">
      <c r="A742" s="86">
        <v>8</v>
      </c>
      <c r="B742" s="86">
        <v>8</v>
      </c>
      <c r="C742" s="86" t="s">
        <v>1123</v>
      </c>
      <c r="D742" s="86">
        <v>7</v>
      </c>
      <c r="E742" s="86" t="s">
        <v>766</v>
      </c>
      <c r="F742" s="86">
        <v>1</v>
      </c>
      <c r="G742" s="86">
        <v>1</v>
      </c>
      <c r="H742" s="86">
        <v>1</v>
      </c>
      <c r="I742" s="87">
        <v>231334.20556640599</v>
      </c>
      <c r="J742" s="86" t="s">
        <v>633</v>
      </c>
      <c r="K742" s="86" t="s">
        <v>634</v>
      </c>
      <c r="L742" s="86" t="s">
        <v>157</v>
      </c>
      <c r="M742" s="86" t="s">
        <v>158</v>
      </c>
      <c r="N742" s="86" t="s">
        <v>726</v>
      </c>
      <c r="O742" s="86" t="s">
        <v>35</v>
      </c>
    </row>
    <row r="743" spans="1:15" s="28" customFormat="1" x14ac:dyDescent="0.25">
      <c r="A743" s="86">
        <v>8</v>
      </c>
      <c r="B743" s="86">
        <v>8</v>
      </c>
      <c r="C743" s="86" t="s">
        <v>1123</v>
      </c>
      <c r="D743" s="86">
        <v>7</v>
      </c>
      <c r="E743" s="86" t="s">
        <v>766</v>
      </c>
      <c r="F743" s="86">
        <v>1</v>
      </c>
      <c r="G743" s="86">
        <v>1</v>
      </c>
      <c r="H743" s="86">
        <v>1</v>
      </c>
      <c r="I743" s="87">
        <v>1944419.6743164</v>
      </c>
      <c r="J743" s="86" t="s">
        <v>637</v>
      </c>
      <c r="K743" s="86" t="s">
        <v>638</v>
      </c>
      <c r="L743" s="86" t="s">
        <v>157</v>
      </c>
      <c r="M743" s="86" t="s">
        <v>158</v>
      </c>
      <c r="N743" s="86" t="s">
        <v>726</v>
      </c>
      <c r="O743" s="86" t="s">
        <v>35</v>
      </c>
    </row>
    <row r="744" spans="1:15" s="28" customFormat="1" x14ac:dyDescent="0.25">
      <c r="A744" s="86">
        <v>8</v>
      </c>
      <c r="B744" s="86">
        <v>8</v>
      </c>
      <c r="C744" s="86" t="s">
        <v>1123</v>
      </c>
      <c r="D744" s="86">
        <v>7</v>
      </c>
      <c r="E744" s="86" t="s">
        <v>766</v>
      </c>
      <c r="F744" s="86">
        <v>1</v>
      </c>
      <c r="G744" s="86">
        <v>1</v>
      </c>
      <c r="H744" s="86">
        <v>1</v>
      </c>
      <c r="I744" s="87">
        <v>785735.86181640602</v>
      </c>
      <c r="J744" s="86" t="s">
        <v>661</v>
      </c>
      <c r="K744" s="86" t="s">
        <v>662</v>
      </c>
      <c r="L744" s="86" t="s">
        <v>157</v>
      </c>
      <c r="M744" s="86" t="s">
        <v>158</v>
      </c>
      <c r="N744" s="86" t="s">
        <v>726</v>
      </c>
      <c r="O744" s="86" t="s">
        <v>35</v>
      </c>
    </row>
    <row r="745" spans="1:15" s="28" customFormat="1" x14ac:dyDescent="0.25">
      <c r="A745" s="86">
        <v>8</v>
      </c>
      <c r="B745" s="86">
        <v>8</v>
      </c>
      <c r="C745" s="86" t="s">
        <v>1123</v>
      </c>
      <c r="D745" s="86">
        <v>7</v>
      </c>
      <c r="E745" s="86" t="s">
        <v>766</v>
      </c>
      <c r="F745" s="86">
        <v>1</v>
      </c>
      <c r="G745" s="86">
        <v>1</v>
      </c>
      <c r="H745" s="86">
        <v>1</v>
      </c>
      <c r="I745" s="87">
        <v>441773.70458984299</v>
      </c>
      <c r="J745" s="86" t="s">
        <v>673</v>
      </c>
      <c r="K745" s="86" t="s">
        <v>674</v>
      </c>
      <c r="L745" s="86" t="s">
        <v>157</v>
      </c>
      <c r="M745" s="86" t="s">
        <v>158</v>
      </c>
      <c r="N745" s="86" t="s">
        <v>726</v>
      </c>
      <c r="O745" s="86" t="s">
        <v>35</v>
      </c>
    </row>
    <row r="746" spans="1:15" s="28" customFormat="1" x14ac:dyDescent="0.25">
      <c r="A746" s="86">
        <v>8</v>
      </c>
      <c r="B746" s="86">
        <v>8</v>
      </c>
      <c r="C746" s="86" t="s">
        <v>1123</v>
      </c>
      <c r="D746" s="86">
        <v>7</v>
      </c>
      <c r="E746" s="86" t="s">
        <v>766</v>
      </c>
      <c r="F746" s="86">
        <v>1</v>
      </c>
      <c r="G746" s="86">
        <v>1</v>
      </c>
      <c r="H746" s="86">
        <v>1</v>
      </c>
      <c r="I746" s="87">
        <v>279148.58642578102</v>
      </c>
      <c r="J746" s="86" t="s">
        <v>679</v>
      </c>
      <c r="K746" s="86" t="s">
        <v>680</v>
      </c>
      <c r="L746" s="86" t="s">
        <v>157</v>
      </c>
      <c r="M746" s="86" t="s">
        <v>158</v>
      </c>
      <c r="N746" s="86" t="s">
        <v>726</v>
      </c>
      <c r="O746" s="86" t="s">
        <v>35</v>
      </c>
    </row>
    <row r="747" spans="1:15" s="28" customFormat="1" x14ac:dyDescent="0.25">
      <c r="A747" s="86">
        <v>8</v>
      </c>
      <c r="B747" s="86">
        <v>8</v>
      </c>
      <c r="C747" s="86" t="s">
        <v>1123</v>
      </c>
      <c r="D747" s="86">
        <v>7</v>
      </c>
      <c r="E747" s="86" t="s">
        <v>766</v>
      </c>
      <c r="F747" s="86">
        <v>1</v>
      </c>
      <c r="G747" s="86">
        <v>1</v>
      </c>
      <c r="H747" s="86">
        <v>1</v>
      </c>
      <c r="I747" s="87">
        <v>305487.33496093698</v>
      </c>
      <c r="J747" s="86" t="s">
        <v>688</v>
      </c>
      <c r="K747" s="86" t="s">
        <v>689</v>
      </c>
      <c r="L747" s="86" t="s">
        <v>157</v>
      </c>
      <c r="M747" s="86" t="s">
        <v>158</v>
      </c>
      <c r="N747" s="86" t="s">
        <v>726</v>
      </c>
      <c r="O747" s="86" t="s">
        <v>35</v>
      </c>
    </row>
    <row r="748" spans="1:15" s="28" customFormat="1" x14ac:dyDescent="0.25">
      <c r="A748" s="86">
        <v>8</v>
      </c>
      <c r="B748" s="86">
        <v>8</v>
      </c>
      <c r="C748" s="86" t="s">
        <v>1123</v>
      </c>
      <c r="D748" s="86">
        <v>7</v>
      </c>
      <c r="E748" s="86" t="s">
        <v>766</v>
      </c>
      <c r="F748" s="86">
        <v>1</v>
      </c>
      <c r="G748" s="86">
        <v>1</v>
      </c>
      <c r="H748" s="86">
        <v>1</v>
      </c>
      <c r="I748" s="87">
        <v>99221.6767578125</v>
      </c>
      <c r="J748" s="86" t="s">
        <v>702</v>
      </c>
      <c r="K748" s="86" t="s">
        <v>703</v>
      </c>
      <c r="L748" s="86" t="s">
        <v>157</v>
      </c>
      <c r="M748" s="86" t="s">
        <v>158</v>
      </c>
      <c r="N748" s="86" t="s">
        <v>726</v>
      </c>
      <c r="O748" s="86" t="s">
        <v>35</v>
      </c>
    </row>
    <row r="749" spans="1:15" s="28" customFormat="1" x14ac:dyDescent="0.25">
      <c r="A749" s="86">
        <v>8</v>
      </c>
      <c r="B749" s="86">
        <v>8</v>
      </c>
      <c r="C749" s="86" t="s">
        <v>1123</v>
      </c>
      <c r="D749" s="86">
        <v>7</v>
      </c>
      <c r="E749" s="86" t="s">
        <v>766</v>
      </c>
      <c r="F749" s="86">
        <v>1</v>
      </c>
      <c r="G749" s="86">
        <v>1</v>
      </c>
      <c r="H749" s="86">
        <v>1</v>
      </c>
      <c r="I749" s="87">
        <v>1267.30419921875</v>
      </c>
      <c r="J749" s="86" t="s">
        <v>704</v>
      </c>
      <c r="K749" s="86" t="s">
        <v>705</v>
      </c>
      <c r="L749" s="86" t="s">
        <v>27</v>
      </c>
      <c r="M749" s="1" t="s">
        <v>738</v>
      </c>
      <c r="N749" s="86" t="s">
        <v>726</v>
      </c>
      <c r="O749" s="86" t="s">
        <v>35</v>
      </c>
    </row>
    <row r="750" spans="1:15" s="28" customFormat="1" x14ac:dyDescent="0.25">
      <c r="A750" s="86">
        <v>8</v>
      </c>
      <c r="B750" s="86">
        <v>8</v>
      </c>
      <c r="C750" s="86" t="s">
        <v>1123</v>
      </c>
      <c r="D750" s="86">
        <v>7</v>
      </c>
      <c r="E750" s="86" t="s">
        <v>766</v>
      </c>
      <c r="F750" s="86">
        <v>1</v>
      </c>
      <c r="G750" s="86">
        <v>1</v>
      </c>
      <c r="H750" s="86">
        <v>1</v>
      </c>
      <c r="I750" s="87">
        <v>236862.20751953099</v>
      </c>
      <c r="J750" s="86" t="s">
        <v>710</v>
      </c>
      <c r="K750" s="86" t="s">
        <v>711</v>
      </c>
      <c r="L750" s="86" t="s">
        <v>157</v>
      </c>
      <c r="M750" s="86" t="s">
        <v>158</v>
      </c>
      <c r="N750" s="86" t="s">
        <v>726</v>
      </c>
      <c r="O750" s="86" t="s">
        <v>35</v>
      </c>
    </row>
    <row r="751" spans="1:15" s="28" customFormat="1" x14ac:dyDescent="0.25">
      <c r="A751" s="86">
        <v>8</v>
      </c>
      <c r="B751" s="86">
        <v>8</v>
      </c>
      <c r="C751" s="86" t="s">
        <v>1123</v>
      </c>
      <c r="D751" s="86">
        <v>7</v>
      </c>
      <c r="E751" s="86" t="s">
        <v>766</v>
      </c>
      <c r="F751" s="86">
        <v>1</v>
      </c>
      <c r="G751" s="86">
        <v>1</v>
      </c>
      <c r="H751" s="86">
        <v>1</v>
      </c>
      <c r="I751" s="87">
        <v>958021.68994140602</v>
      </c>
      <c r="J751" s="86" t="s">
        <v>712</v>
      </c>
      <c r="K751" s="86" t="s">
        <v>713</v>
      </c>
      <c r="L751" s="86" t="s">
        <v>157</v>
      </c>
      <c r="M751" s="86" t="s">
        <v>158</v>
      </c>
      <c r="N751" s="86" t="s">
        <v>726</v>
      </c>
      <c r="O751" s="86" t="s">
        <v>35</v>
      </c>
    </row>
    <row r="752" spans="1:15" s="28" customFormat="1" x14ac:dyDescent="0.25">
      <c r="A752" s="86">
        <v>8</v>
      </c>
      <c r="B752" s="86">
        <v>8</v>
      </c>
      <c r="C752" s="86" t="s">
        <v>1123</v>
      </c>
      <c r="D752" s="86">
        <v>7</v>
      </c>
      <c r="E752" s="86" t="s">
        <v>766</v>
      </c>
      <c r="F752" s="86">
        <v>1</v>
      </c>
      <c r="G752" s="86">
        <v>1</v>
      </c>
      <c r="H752" s="86">
        <v>1</v>
      </c>
      <c r="I752" s="87">
        <v>758977.53466796805</v>
      </c>
      <c r="J752" s="86" t="s">
        <v>718</v>
      </c>
      <c r="K752" s="86" t="s">
        <v>719</v>
      </c>
      <c r="L752" s="86" t="s">
        <v>157</v>
      </c>
      <c r="M752" s="86" t="s">
        <v>158</v>
      </c>
      <c r="N752" s="86" t="s">
        <v>726</v>
      </c>
      <c r="O752" s="86" t="s">
        <v>35</v>
      </c>
    </row>
    <row r="753" spans="1:15" s="272" customFormat="1" x14ac:dyDescent="0.25">
      <c r="A753" s="270">
        <v>9</v>
      </c>
      <c r="B753" s="270">
        <v>9</v>
      </c>
      <c r="C753" s="270" t="s">
        <v>940</v>
      </c>
      <c r="D753" s="270">
        <v>5</v>
      </c>
      <c r="E753" s="270" t="s">
        <v>755</v>
      </c>
      <c r="F753" s="270">
        <v>1</v>
      </c>
      <c r="G753" s="270">
        <v>1</v>
      </c>
      <c r="H753" s="270">
        <v>0</v>
      </c>
      <c r="I753" s="271">
        <v>196370.646484375</v>
      </c>
      <c r="J753" s="270" t="s">
        <v>25</v>
      </c>
      <c r="K753" s="270" t="s">
        <v>26</v>
      </c>
      <c r="L753" s="270" t="s">
        <v>27</v>
      </c>
      <c r="M753" s="270" t="s">
        <v>738</v>
      </c>
      <c r="N753" s="270" t="s">
        <v>728</v>
      </c>
      <c r="O753" s="270" t="s">
        <v>11</v>
      </c>
    </row>
    <row r="754" spans="1:15" s="272" customFormat="1" x14ac:dyDescent="0.25">
      <c r="A754" s="270">
        <v>9</v>
      </c>
      <c r="B754" s="270">
        <v>9</v>
      </c>
      <c r="C754" s="270" t="s">
        <v>940</v>
      </c>
      <c r="D754" s="270">
        <v>5</v>
      </c>
      <c r="E754" s="270" t="s">
        <v>755</v>
      </c>
      <c r="F754" s="270">
        <v>1</v>
      </c>
      <c r="G754" s="270">
        <v>1</v>
      </c>
      <c r="H754" s="270">
        <v>0</v>
      </c>
      <c r="I754" s="271">
        <v>192873.36376953099</v>
      </c>
      <c r="J754" s="270" t="s">
        <v>57</v>
      </c>
      <c r="K754" s="270" t="s">
        <v>58</v>
      </c>
      <c r="L754" s="270" t="s">
        <v>46</v>
      </c>
      <c r="M754" s="270" t="s">
        <v>739</v>
      </c>
      <c r="N754" s="270" t="s">
        <v>728</v>
      </c>
      <c r="O754" s="270" t="s">
        <v>11</v>
      </c>
    </row>
    <row r="755" spans="1:15" s="28" customFormat="1" x14ac:dyDescent="0.25">
      <c r="A755" s="86">
        <v>9</v>
      </c>
      <c r="B755" s="86">
        <v>9</v>
      </c>
      <c r="C755" s="86" t="s">
        <v>940</v>
      </c>
      <c r="D755" s="86">
        <v>5</v>
      </c>
      <c r="E755" s="86" t="s">
        <v>755</v>
      </c>
      <c r="F755" s="86">
        <v>1</v>
      </c>
      <c r="G755" s="86">
        <v>1</v>
      </c>
      <c r="H755" s="86">
        <v>0</v>
      </c>
      <c r="I755" s="87">
        <v>3243985.2109375</v>
      </c>
      <c r="J755" s="86" t="s">
        <v>65</v>
      </c>
      <c r="K755" s="86" t="s">
        <v>66</v>
      </c>
      <c r="L755" s="86" t="s">
        <v>27</v>
      </c>
      <c r="M755" s="86" t="s">
        <v>738</v>
      </c>
      <c r="N755" s="86" t="s">
        <v>726</v>
      </c>
      <c r="O755" s="86" t="s">
        <v>35</v>
      </c>
    </row>
    <row r="756" spans="1:15" s="272" customFormat="1" x14ac:dyDescent="0.25">
      <c r="A756" s="270">
        <v>9</v>
      </c>
      <c r="B756" s="270">
        <v>9</v>
      </c>
      <c r="C756" s="270" t="s">
        <v>940</v>
      </c>
      <c r="D756" s="270">
        <v>5</v>
      </c>
      <c r="E756" s="270" t="s">
        <v>755</v>
      </c>
      <c r="F756" s="270">
        <v>1</v>
      </c>
      <c r="G756" s="270">
        <v>1</v>
      </c>
      <c r="H756" s="270">
        <v>0</v>
      </c>
      <c r="I756" s="271">
        <v>194063.10449218701</v>
      </c>
      <c r="J756" s="270" t="s">
        <v>91</v>
      </c>
      <c r="K756" s="270" t="s">
        <v>92</v>
      </c>
      <c r="L756" s="270" t="s">
        <v>27</v>
      </c>
      <c r="M756" s="270" t="s">
        <v>738</v>
      </c>
      <c r="N756" s="270" t="s">
        <v>728</v>
      </c>
      <c r="O756" s="270" t="s">
        <v>11</v>
      </c>
    </row>
    <row r="757" spans="1:15" s="28" customFormat="1" x14ac:dyDescent="0.25">
      <c r="A757" s="86">
        <v>9</v>
      </c>
      <c r="B757" s="86">
        <v>9</v>
      </c>
      <c r="C757" s="86" t="s">
        <v>940</v>
      </c>
      <c r="D757" s="86">
        <v>5</v>
      </c>
      <c r="E757" s="86" t="s">
        <v>755</v>
      </c>
      <c r="F757" s="86">
        <v>1</v>
      </c>
      <c r="G757" s="86">
        <v>1</v>
      </c>
      <c r="H757" s="86">
        <v>0</v>
      </c>
      <c r="I757" s="87">
        <v>1142360.4458007801</v>
      </c>
      <c r="J757" s="86" t="s">
        <v>103</v>
      </c>
      <c r="K757" s="86" t="s">
        <v>104</v>
      </c>
      <c r="L757" s="86" t="s">
        <v>27</v>
      </c>
      <c r="M757" s="86" t="s">
        <v>738</v>
      </c>
      <c r="N757" s="86" t="s">
        <v>726</v>
      </c>
      <c r="O757" s="86" t="s">
        <v>105</v>
      </c>
    </row>
    <row r="758" spans="1:15" s="264" customFormat="1" x14ac:dyDescent="0.25">
      <c r="A758" s="262">
        <v>9</v>
      </c>
      <c r="B758" s="262">
        <v>9</v>
      </c>
      <c r="C758" s="262" t="s">
        <v>940</v>
      </c>
      <c r="D758" s="262">
        <v>5</v>
      </c>
      <c r="E758" s="262" t="s">
        <v>755</v>
      </c>
      <c r="F758" s="262">
        <v>1</v>
      </c>
      <c r="G758" s="262">
        <v>1</v>
      </c>
      <c r="H758" s="262">
        <v>0</v>
      </c>
      <c r="I758" s="263">
        <v>78.123046875</v>
      </c>
      <c r="J758" s="262" t="s">
        <v>114</v>
      </c>
      <c r="K758" s="262" t="s">
        <v>115</v>
      </c>
      <c r="L758" s="262" t="s">
        <v>46</v>
      </c>
      <c r="M758" s="262" t="s">
        <v>739</v>
      </c>
      <c r="N758" s="262" t="s">
        <v>727</v>
      </c>
      <c r="O758" s="262" t="s">
        <v>11</v>
      </c>
    </row>
    <row r="759" spans="1:15" s="272" customFormat="1" x14ac:dyDescent="0.25">
      <c r="A759" s="270">
        <v>9</v>
      </c>
      <c r="B759" s="270">
        <v>9</v>
      </c>
      <c r="C759" s="270" t="s">
        <v>940</v>
      </c>
      <c r="D759" s="270">
        <v>5</v>
      </c>
      <c r="E759" s="270" t="s">
        <v>755</v>
      </c>
      <c r="F759" s="270">
        <v>1</v>
      </c>
      <c r="G759" s="270">
        <v>1</v>
      </c>
      <c r="H759" s="270">
        <v>0</v>
      </c>
      <c r="I759" s="271">
        <v>1138.14111328125</v>
      </c>
      <c r="J759" s="270" t="s">
        <v>136</v>
      </c>
      <c r="K759" s="270" t="s">
        <v>137</v>
      </c>
      <c r="L759" s="270" t="s">
        <v>27</v>
      </c>
      <c r="M759" s="270" t="s">
        <v>738</v>
      </c>
      <c r="N759" s="270" t="s">
        <v>728</v>
      </c>
      <c r="O759" s="270" t="s">
        <v>11</v>
      </c>
    </row>
    <row r="760" spans="1:15" s="129" customFormat="1" x14ac:dyDescent="0.25">
      <c r="A760" s="130">
        <v>9</v>
      </c>
      <c r="B760" s="130">
        <v>9</v>
      </c>
      <c r="C760" s="130" t="s">
        <v>940</v>
      </c>
      <c r="D760" s="130">
        <v>5</v>
      </c>
      <c r="E760" s="130" t="s">
        <v>755</v>
      </c>
      <c r="F760" s="130">
        <v>1</v>
      </c>
      <c r="G760" s="130">
        <v>1</v>
      </c>
      <c r="H760" s="130">
        <v>0</v>
      </c>
      <c r="I760" s="131">
        <v>2177357.9072265602</v>
      </c>
      <c r="J760" s="130" t="s">
        <v>147</v>
      </c>
      <c r="K760" s="130" t="s">
        <v>148</v>
      </c>
      <c r="L760" s="130" t="s">
        <v>27</v>
      </c>
      <c r="M760" s="130" t="s">
        <v>738</v>
      </c>
      <c r="N760" s="130" t="s">
        <v>15</v>
      </c>
      <c r="O760" s="130" t="s">
        <v>11</v>
      </c>
    </row>
    <row r="761" spans="1:15" s="272" customFormat="1" x14ac:dyDescent="0.25">
      <c r="A761" s="270">
        <v>9</v>
      </c>
      <c r="B761" s="270">
        <v>9</v>
      </c>
      <c r="C761" s="270" t="s">
        <v>940</v>
      </c>
      <c r="D761" s="270">
        <v>5</v>
      </c>
      <c r="E761" s="270" t="s">
        <v>755</v>
      </c>
      <c r="F761" s="270">
        <v>1</v>
      </c>
      <c r="G761" s="270">
        <v>1</v>
      </c>
      <c r="H761" s="270">
        <v>0</v>
      </c>
      <c r="I761" s="271">
        <v>214497.26708984299</v>
      </c>
      <c r="J761" s="270" t="s">
        <v>147</v>
      </c>
      <c r="K761" s="270" t="s">
        <v>148</v>
      </c>
      <c r="L761" s="270" t="s">
        <v>27</v>
      </c>
      <c r="M761" s="270" t="s">
        <v>738</v>
      </c>
      <c r="N761" s="270" t="s">
        <v>728</v>
      </c>
      <c r="O761" s="270" t="s">
        <v>11</v>
      </c>
    </row>
    <row r="762" spans="1:15" s="28" customFormat="1" x14ac:dyDescent="0.25">
      <c r="A762" s="86">
        <v>9</v>
      </c>
      <c r="B762" s="86">
        <v>9</v>
      </c>
      <c r="C762" s="86" t="s">
        <v>940</v>
      </c>
      <c r="D762" s="86">
        <v>5</v>
      </c>
      <c r="E762" s="86" t="s">
        <v>755</v>
      </c>
      <c r="F762" s="86">
        <v>1</v>
      </c>
      <c r="G762" s="86">
        <v>1</v>
      </c>
      <c r="H762" s="86">
        <v>0</v>
      </c>
      <c r="I762" s="87">
        <v>917577.21386718703</v>
      </c>
      <c r="J762" s="86" t="s">
        <v>209</v>
      </c>
      <c r="K762" s="86" t="s">
        <v>210</v>
      </c>
      <c r="L762" s="86" t="s">
        <v>27</v>
      </c>
      <c r="M762" s="86" t="s">
        <v>738</v>
      </c>
      <c r="N762" s="86" t="s">
        <v>726</v>
      </c>
      <c r="O762" s="86" t="s">
        <v>35</v>
      </c>
    </row>
    <row r="763" spans="1:15" s="272" customFormat="1" x14ac:dyDescent="0.25">
      <c r="A763" s="270">
        <v>9</v>
      </c>
      <c r="B763" s="270">
        <v>9</v>
      </c>
      <c r="C763" s="270" t="s">
        <v>940</v>
      </c>
      <c r="D763" s="270">
        <v>5</v>
      </c>
      <c r="E763" s="270" t="s">
        <v>755</v>
      </c>
      <c r="F763" s="270">
        <v>1</v>
      </c>
      <c r="G763" s="270">
        <v>1</v>
      </c>
      <c r="H763" s="270">
        <v>0</v>
      </c>
      <c r="I763" s="271">
        <v>30906.6357421875</v>
      </c>
      <c r="J763" s="270" t="s">
        <v>225</v>
      </c>
      <c r="K763" s="270" t="s">
        <v>226</v>
      </c>
      <c r="L763" s="270" t="s">
        <v>227</v>
      </c>
      <c r="M763" s="270" t="s">
        <v>228</v>
      </c>
      <c r="N763" s="270" t="s">
        <v>728</v>
      </c>
      <c r="O763" s="270" t="s">
        <v>11</v>
      </c>
    </row>
    <row r="764" spans="1:15" s="272" customFormat="1" x14ac:dyDescent="0.25">
      <c r="A764" s="270">
        <v>9</v>
      </c>
      <c r="B764" s="270">
        <v>9</v>
      </c>
      <c r="C764" s="270" t="s">
        <v>940</v>
      </c>
      <c r="D764" s="270">
        <v>5</v>
      </c>
      <c r="E764" s="270" t="s">
        <v>755</v>
      </c>
      <c r="F764" s="270">
        <v>1</v>
      </c>
      <c r="G764" s="270">
        <v>1</v>
      </c>
      <c r="H764" s="270">
        <v>0</v>
      </c>
      <c r="I764" s="271">
        <v>119815.68505859299</v>
      </c>
      <c r="J764" s="270" t="s">
        <v>233</v>
      </c>
      <c r="K764" s="270" t="s">
        <v>234</v>
      </c>
      <c r="L764" s="270" t="s">
        <v>80</v>
      </c>
      <c r="M764" s="270" t="s">
        <v>733</v>
      </c>
      <c r="N764" s="270" t="s">
        <v>728</v>
      </c>
      <c r="O764" s="270" t="s">
        <v>11</v>
      </c>
    </row>
    <row r="765" spans="1:15" s="129" customFormat="1" x14ac:dyDescent="0.25">
      <c r="A765" s="130">
        <v>9</v>
      </c>
      <c r="B765" s="130">
        <v>9</v>
      </c>
      <c r="C765" s="130" t="s">
        <v>940</v>
      </c>
      <c r="D765" s="130">
        <v>5</v>
      </c>
      <c r="E765" s="130" t="s">
        <v>755</v>
      </c>
      <c r="F765" s="130">
        <v>1</v>
      </c>
      <c r="G765" s="130">
        <v>1</v>
      </c>
      <c r="H765" s="130">
        <v>0</v>
      </c>
      <c r="I765" s="131">
        <v>1794570.4370117099</v>
      </c>
      <c r="J765" s="130" t="s">
        <v>243</v>
      </c>
      <c r="K765" s="130" t="s">
        <v>244</v>
      </c>
      <c r="L765" s="130" t="s">
        <v>46</v>
      </c>
      <c r="M765" s="130" t="s">
        <v>739</v>
      </c>
      <c r="N765" s="130" t="s">
        <v>15</v>
      </c>
      <c r="O765" s="130" t="s">
        <v>11</v>
      </c>
    </row>
    <row r="766" spans="1:15" s="272" customFormat="1" x14ac:dyDescent="0.25">
      <c r="A766" s="270">
        <v>9</v>
      </c>
      <c r="B766" s="270">
        <v>9</v>
      </c>
      <c r="C766" s="270" t="s">
        <v>940</v>
      </c>
      <c r="D766" s="270">
        <v>5</v>
      </c>
      <c r="E766" s="270" t="s">
        <v>755</v>
      </c>
      <c r="F766" s="270">
        <v>1</v>
      </c>
      <c r="G766" s="270">
        <v>1</v>
      </c>
      <c r="H766" s="270">
        <v>0</v>
      </c>
      <c r="I766" s="271">
        <v>3028.2158203125</v>
      </c>
      <c r="J766" s="270" t="s">
        <v>245</v>
      </c>
      <c r="K766" s="270" t="s">
        <v>246</v>
      </c>
      <c r="L766" s="270" t="s">
        <v>9</v>
      </c>
      <c r="M766" s="270" t="s">
        <v>10</v>
      </c>
      <c r="N766" s="270" t="s">
        <v>728</v>
      </c>
      <c r="O766" s="270" t="s">
        <v>11</v>
      </c>
    </row>
    <row r="767" spans="1:15" s="129" customFormat="1" x14ac:dyDescent="0.25">
      <c r="A767" s="130">
        <v>9</v>
      </c>
      <c r="B767" s="130">
        <v>9</v>
      </c>
      <c r="C767" s="130" t="s">
        <v>940</v>
      </c>
      <c r="D767" s="130">
        <v>5</v>
      </c>
      <c r="E767" s="130" t="s">
        <v>755</v>
      </c>
      <c r="F767" s="130">
        <v>1</v>
      </c>
      <c r="G767" s="130">
        <v>1</v>
      </c>
      <c r="H767" s="130">
        <v>0</v>
      </c>
      <c r="I767" s="131">
        <v>1175575.40234375</v>
      </c>
      <c r="J767" s="130" t="s">
        <v>247</v>
      </c>
      <c r="K767" s="130" t="s">
        <v>248</v>
      </c>
      <c r="L767" s="130" t="s">
        <v>46</v>
      </c>
      <c r="M767" s="130" t="s">
        <v>739</v>
      </c>
      <c r="N767" s="130" t="s">
        <v>15</v>
      </c>
      <c r="O767" s="130" t="s">
        <v>11</v>
      </c>
    </row>
    <row r="768" spans="1:15" s="264" customFormat="1" x14ac:dyDescent="0.25">
      <c r="A768" s="262">
        <v>9</v>
      </c>
      <c r="B768" s="262">
        <v>9</v>
      </c>
      <c r="C768" s="262" t="s">
        <v>940</v>
      </c>
      <c r="D768" s="262">
        <v>5</v>
      </c>
      <c r="E768" s="262" t="s">
        <v>755</v>
      </c>
      <c r="F768" s="262">
        <v>1</v>
      </c>
      <c r="G768" s="262">
        <v>1</v>
      </c>
      <c r="H768" s="262">
        <v>0</v>
      </c>
      <c r="I768" s="263">
        <v>74576.7265625</v>
      </c>
      <c r="J768" s="262" t="s">
        <v>249</v>
      </c>
      <c r="K768" s="262" t="s">
        <v>250</v>
      </c>
      <c r="L768" s="262" t="s">
        <v>46</v>
      </c>
      <c r="M768" s="262" t="s">
        <v>739</v>
      </c>
      <c r="N768" s="262" t="s">
        <v>727</v>
      </c>
      <c r="O768" s="262" t="s">
        <v>11</v>
      </c>
    </row>
    <row r="769" spans="1:15" s="28" customFormat="1" x14ac:dyDescent="0.25">
      <c r="A769" s="86">
        <v>9</v>
      </c>
      <c r="B769" s="86">
        <v>9</v>
      </c>
      <c r="C769" s="86" t="s">
        <v>940</v>
      </c>
      <c r="D769" s="86">
        <v>5</v>
      </c>
      <c r="E769" s="86" t="s">
        <v>755</v>
      </c>
      <c r="F769" s="86">
        <v>1</v>
      </c>
      <c r="G769" s="86">
        <v>1</v>
      </c>
      <c r="H769" s="86">
        <v>0</v>
      </c>
      <c r="I769" s="87">
        <v>892287.11865234305</v>
      </c>
      <c r="J769" s="86" t="s">
        <v>251</v>
      </c>
      <c r="K769" s="86" t="s">
        <v>252</v>
      </c>
      <c r="L769" s="86" t="s">
        <v>46</v>
      </c>
      <c r="M769" s="86" t="s">
        <v>739</v>
      </c>
      <c r="N769" s="86" t="s">
        <v>726</v>
      </c>
      <c r="O769" s="86" t="s">
        <v>35</v>
      </c>
    </row>
    <row r="770" spans="1:15" s="264" customFormat="1" x14ac:dyDescent="0.25">
      <c r="A770" s="262">
        <v>9</v>
      </c>
      <c r="B770" s="262">
        <v>9</v>
      </c>
      <c r="C770" s="262" t="s">
        <v>940</v>
      </c>
      <c r="D770" s="262">
        <v>5</v>
      </c>
      <c r="E770" s="262" t="s">
        <v>755</v>
      </c>
      <c r="F770" s="262">
        <v>1</v>
      </c>
      <c r="G770" s="262">
        <v>1</v>
      </c>
      <c r="H770" s="262">
        <v>0</v>
      </c>
      <c r="I770" s="263">
        <v>4.68603515625</v>
      </c>
      <c r="J770" s="262" t="s">
        <v>225</v>
      </c>
      <c r="K770" s="262" t="s">
        <v>226</v>
      </c>
      <c r="L770" s="262" t="s">
        <v>227</v>
      </c>
      <c r="M770" s="262" t="s">
        <v>228</v>
      </c>
      <c r="N770" s="262" t="s">
        <v>727</v>
      </c>
      <c r="O770" s="262" t="s">
        <v>11</v>
      </c>
    </row>
    <row r="771" spans="1:15" s="129" customFormat="1" x14ac:dyDescent="0.25">
      <c r="A771" s="130">
        <v>9</v>
      </c>
      <c r="B771" s="130">
        <v>9</v>
      </c>
      <c r="C771" s="130" t="s">
        <v>940</v>
      </c>
      <c r="D771" s="130">
        <v>5</v>
      </c>
      <c r="E771" s="130" t="s">
        <v>755</v>
      </c>
      <c r="F771" s="130">
        <v>1</v>
      </c>
      <c r="G771" s="130">
        <v>1</v>
      </c>
      <c r="H771" s="130">
        <v>0</v>
      </c>
      <c r="I771" s="131">
        <v>288989.90576171799</v>
      </c>
      <c r="J771" s="130" t="s">
        <v>277</v>
      </c>
      <c r="K771" s="130" t="s">
        <v>278</v>
      </c>
      <c r="L771" s="130" t="s">
        <v>46</v>
      </c>
      <c r="M771" s="130" t="s">
        <v>739</v>
      </c>
      <c r="N771" s="130" t="s">
        <v>15</v>
      </c>
      <c r="O771" s="130" t="s">
        <v>11</v>
      </c>
    </row>
    <row r="772" spans="1:15" s="28" customFormat="1" x14ac:dyDescent="0.25">
      <c r="A772" s="86">
        <v>9</v>
      </c>
      <c r="B772" s="86">
        <v>9</v>
      </c>
      <c r="C772" s="86" t="s">
        <v>940</v>
      </c>
      <c r="D772" s="86">
        <v>5</v>
      </c>
      <c r="E772" s="86" t="s">
        <v>755</v>
      </c>
      <c r="F772" s="86">
        <v>1</v>
      </c>
      <c r="G772" s="86">
        <v>1</v>
      </c>
      <c r="H772" s="86">
        <v>0</v>
      </c>
      <c r="I772" s="87">
        <v>2341952.16699218</v>
      </c>
      <c r="J772" s="86" t="s">
        <v>283</v>
      </c>
      <c r="K772" s="86" t="s">
        <v>284</v>
      </c>
      <c r="L772" s="86" t="s">
        <v>27</v>
      </c>
      <c r="M772" s="86" t="s">
        <v>738</v>
      </c>
      <c r="N772" s="86" t="s">
        <v>726</v>
      </c>
      <c r="O772" s="86" t="s">
        <v>35</v>
      </c>
    </row>
    <row r="773" spans="1:15" s="264" customFormat="1" x14ac:dyDescent="0.25">
      <c r="A773" s="262">
        <v>9</v>
      </c>
      <c r="B773" s="262">
        <v>9</v>
      </c>
      <c r="C773" s="262" t="s">
        <v>940</v>
      </c>
      <c r="D773" s="262">
        <v>5</v>
      </c>
      <c r="E773" s="262" t="s">
        <v>755</v>
      </c>
      <c r="F773" s="262">
        <v>1</v>
      </c>
      <c r="G773" s="262">
        <v>1</v>
      </c>
      <c r="H773" s="262">
        <v>0</v>
      </c>
      <c r="I773" s="263">
        <v>5360.33642578125</v>
      </c>
      <c r="J773" s="262" t="s">
        <v>233</v>
      </c>
      <c r="K773" s="262" t="s">
        <v>234</v>
      </c>
      <c r="L773" s="262" t="s">
        <v>80</v>
      </c>
      <c r="M773" s="262" t="s">
        <v>733</v>
      </c>
      <c r="N773" s="262" t="s">
        <v>727</v>
      </c>
      <c r="O773" s="262" t="s">
        <v>11</v>
      </c>
    </row>
    <row r="774" spans="1:15" s="264" customFormat="1" x14ac:dyDescent="0.25">
      <c r="A774" s="262">
        <v>9</v>
      </c>
      <c r="B774" s="262">
        <v>9</v>
      </c>
      <c r="C774" s="262" t="s">
        <v>940</v>
      </c>
      <c r="D774" s="262">
        <v>5</v>
      </c>
      <c r="E774" s="262" t="s">
        <v>755</v>
      </c>
      <c r="F774" s="262">
        <v>1</v>
      </c>
      <c r="G774" s="262">
        <v>1</v>
      </c>
      <c r="H774" s="262">
        <v>0</v>
      </c>
      <c r="I774" s="263">
        <v>1605.57373046875</v>
      </c>
      <c r="J774" s="262" t="s">
        <v>297</v>
      </c>
      <c r="K774" s="262" t="s">
        <v>298</v>
      </c>
      <c r="L774" s="262" t="s">
        <v>46</v>
      </c>
      <c r="M774" s="262" t="s">
        <v>739</v>
      </c>
      <c r="N774" s="262" t="s">
        <v>727</v>
      </c>
      <c r="O774" s="262" t="s">
        <v>11</v>
      </c>
    </row>
    <row r="775" spans="1:15" s="129" customFormat="1" x14ac:dyDescent="0.25">
      <c r="A775" s="130">
        <v>9</v>
      </c>
      <c r="B775" s="130">
        <v>9</v>
      </c>
      <c r="C775" s="130" t="s">
        <v>940</v>
      </c>
      <c r="D775" s="130">
        <v>5</v>
      </c>
      <c r="E775" s="130" t="s">
        <v>755</v>
      </c>
      <c r="F775" s="130">
        <v>1</v>
      </c>
      <c r="G775" s="130">
        <v>1</v>
      </c>
      <c r="H775" s="130">
        <v>0</v>
      </c>
      <c r="I775" s="131">
        <v>753704.93994140602</v>
      </c>
      <c r="J775" s="130" t="s">
        <v>114</v>
      </c>
      <c r="K775" s="130" t="s">
        <v>115</v>
      </c>
      <c r="L775" s="130" t="s">
        <v>46</v>
      </c>
      <c r="M775" s="130" t="s">
        <v>739</v>
      </c>
      <c r="N775" s="130" t="s">
        <v>15</v>
      </c>
      <c r="O775" s="130" t="s">
        <v>11</v>
      </c>
    </row>
    <row r="776" spans="1:15" s="264" customFormat="1" x14ac:dyDescent="0.25">
      <c r="A776" s="262">
        <v>9</v>
      </c>
      <c r="B776" s="262">
        <v>9</v>
      </c>
      <c r="C776" s="262" t="s">
        <v>940</v>
      </c>
      <c r="D776" s="262">
        <v>5</v>
      </c>
      <c r="E776" s="262" t="s">
        <v>755</v>
      </c>
      <c r="F776" s="262">
        <v>1</v>
      </c>
      <c r="G776" s="262">
        <v>1</v>
      </c>
      <c r="H776" s="262">
        <v>0</v>
      </c>
      <c r="I776" s="263">
        <v>830717.69140625</v>
      </c>
      <c r="J776" s="262" t="s">
        <v>343</v>
      </c>
      <c r="K776" s="262" t="s">
        <v>344</v>
      </c>
      <c r="L776" s="262" t="s">
        <v>227</v>
      </c>
      <c r="M776" s="262" t="s">
        <v>228</v>
      </c>
      <c r="N776" s="262" t="s">
        <v>727</v>
      </c>
      <c r="O776" s="262" t="s">
        <v>11</v>
      </c>
    </row>
    <row r="777" spans="1:15" s="129" customFormat="1" x14ac:dyDescent="0.25">
      <c r="A777" s="130">
        <v>9</v>
      </c>
      <c r="B777" s="130">
        <v>9</v>
      </c>
      <c r="C777" s="130" t="s">
        <v>940</v>
      </c>
      <c r="D777" s="130">
        <v>5</v>
      </c>
      <c r="E777" s="130" t="s">
        <v>755</v>
      </c>
      <c r="F777" s="130">
        <v>1</v>
      </c>
      <c r="G777" s="130">
        <v>1</v>
      </c>
      <c r="H777" s="130">
        <v>0</v>
      </c>
      <c r="I777" s="131">
        <v>92579.5478515625</v>
      </c>
      <c r="J777" s="130" t="s">
        <v>57</v>
      </c>
      <c r="K777" s="130" t="s">
        <v>58</v>
      </c>
      <c r="L777" s="130" t="s">
        <v>46</v>
      </c>
      <c r="M777" s="130" t="s">
        <v>739</v>
      </c>
      <c r="N777" s="130" t="s">
        <v>15</v>
      </c>
      <c r="O777" s="130" t="s">
        <v>11</v>
      </c>
    </row>
    <row r="778" spans="1:15" s="264" customFormat="1" x14ac:dyDescent="0.25">
      <c r="A778" s="262">
        <v>9</v>
      </c>
      <c r="B778" s="262">
        <v>9</v>
      </c>
      <c r="C778" s="262" t="s">
        <v>940</v>
      </c>
      <c r="D778" s="262">
        <v>5</v>
      </c>
      <c r="E778" s="262" t="s">
        <v>755</v>
      </c>
      <c r="F778" s="262">
        <v>1</v>
      </c>
      <c r="G778" s="262">
        <v>1</v>
      </c>
      <c r="H778" s="262">
        <v>0</v>
      </c>
      <c r="I778" s="263">
        <v>240684.28955078099</v>
      </c>
      <c r="J778" s="262" t="s">
        <v>57</v>
      </c>
      <c r="K778" s="262" t="s">
        <v>58</v>
      </c>
      <c r="L778" s="262" t="s">
        <v>46</v>
      </c>
      <c r="M778" s="262" t="s">
        <v>739</v>
      </c>
      <c r="N778" s="262" t="s">
        <v>727</v>
      </c>
      <c r="O778" s="262" t="s">
        <v>11</v>
      </c>
    </row>
    <row r="779" spans="1:15" s="264" customFormat="1" x14ac:dyDescent="0.25">
      <c r="A779" s="262">
        <v>9</v>
      </c>
      <c r="B779" s="262">
        <v>9</v>
      </c>
      <c r="C779" s="262" t="s">
        <v>940</v>
      </c>
      <c r="D779" s="262">
        <v>5</v>
      </c>
      <c r="E779" s="262" t="s">
        <v>755</v>
      </c>
      <c r="F779" s="262">
        <v>1</v>
      </c>
      <c r="G779" s="262">
        <v>1</v>
      </c>
      <c r="H779" s="262">
        <v>0</v>
      </c>
      <c r="I779" s="263">
        <v>389.33935546875</v>
      </c>
      <c r="J779" s="262" t="s">
        <v>381</v>
      </c>
      <c r="K779" s="262" t="s">
        <v>382</v>
      </c>
      <c r="L779" s="262" t="s">
        <v>27</v>
      </c>
      <c r="M779" s="262" t="s">
        <v>738</v>
      </c>
      <c r="N779" s="262" t="s">
        <v>727</v>
      </c>
      <c r="O779" s="262" t="s">
        <v>11</v>
      </c>
    </row>
    <row r="780" spans="1:15" s="264" customFormat="1" x14ac:dyDescent="0.25">
      <c r="A780" s="262">
        <v>9</v>
      </c>
      <c r="B780" s="262">
        <v>9</v>
      </c>
      <c r="C780" s="262" t="s">
        <v>940</v>
      </c>
      <c r="D780" s="262">
        <v>5</v>
      </c>
      <c r="E780" s="262" t="s">
        <v>755</v>
      </c>
      <c r="F780" s="262">
        <v>1</v>
      </c>
      <c r="G780" s="262">
        <v>1</v>
      </c>
      <c r="H780" s="262">
        <v>0</v>
      </c>
      <c r="I780" s="263">
        <v>127873.420410156</v>
      </c>
      <c r="J780" s="262" t="s">
        <v>412</v>
      </c>
      <c r="K780" s="262" t="s">
        <v>413</v>
      </c>
      <c r="L780" s="262" t="s">
        <v>227</v>
      </c>
      <c r="M780" s="262" t="s">
        <v>228</v>
      </c>
      <c r="N780" s="262" t="s">
        <v>727</v>
      </c>
      <c r="O780" s="262" t="s">
        <v>11</v>
      </c>
    </row>
    <row r="781" spans="1:15" s="129" customFormat="1" x14ac:dyDescent="0.25">
      <c r="A781" s="130">
        <v>9</v>
      </c>
      <c r="B781" s="130">
        <v>9</v>
      </c>
      <c r="C781" s="130" t="s">
        <v>940</v>
      </c>
      <c r="D781" s="130">
        <v>5</v>
      </c>
      <c r="E781" s="130" t="s">
        <v>755</v>
      </c>
      <c r="F781" s="130">
        <v>1</v>
      </c>
      <c r="G781" s="130">
        <v>1</v>
      </c>
      <c r="H781" s="130">
        <v>0</v>
      </c>
      <c r="I781" s="131">
        <v>30584.040527343699</v>
      </c>
      <c r="J781" s="130" t="s">
        <v>416</v>
      </c>
      <c r="K781" s="130" t="s">
        <v>417</v>
      </c>
      <c r="L781" s="130" t="s">
        <v>27</v>
      </c>
      <c r="M781" s="130" t="s">
        <v>738</v>
      </c>
      <c r="N781" s="130" t="s">
        <v>15</v>
      </c>
      <c r="O781" s="130" t="s">
        <v>11</v>
      </c>
    </row>
    <row r="782" spans="1:15" s="129" customFormat="1" x14ac:dyDescent="0.25">
      <c r="A782" s="130">
        <v>9</v>
      </c>
      <c r="B782" s="130">
        <v>9</v>
      </c>
      <c r="C782" s="130" t="s">
        <v>940</v>
      </c>
      <c r="D782" s="130">
        <v>5</v>
      </c>
      <c r="E782" s="130" t="s">
        <v>755</v>
      </c>
      <c r="F782" s="130">
        <v>1</v>
      </c>
      <c r="G782" s="130">
        <v>1</v>
      </c>
      <c r="H782" s="130">
        <v>0</v>
      </c>
      <c r="I782" s="131">
        <v>2302477.9746093699</v>
      </c>
      <c r="J782" s="130" t="s">
        <v>412</v>
      </c>
      <c r="K782" s="130" t="s">
        <v>413</v>
      </c>
      <c r="L782" s="130" t="s">
        <v>227</v>
      </c>
      <c r="M782" s="130" t="s">
        <v>228</v>
      </c>
      <c r="N782" s="130" t="s">
        <v>15</v>
      </c>
      <c r="O782" s="130" t="s">
        <v>11</v>
      </c>
    </row>
    <row r="783" spans="1:15" s="272" customFormat="1" x14ac:dyDescent="0.25">
      <c r="A783" s="270">
        <v>9</v>
      </c>
      <c r="B783" s="270">
        <v>9</v>
      </c>
      <c r="C783" s="270" t="s">
        <v>940</v>
      </c>
      <c r="D783" s="270">
        <v>5</v>
      </c>
      <c r="E783" s="270" t="s">
        <v>755</v>
      </c>
      <c r="F783" s="270">
        <v>1</v>
      </c>
      <c r="G783" s="270">
        <v>1</v>
      </c>
      <c r="H783" s="270">
        <v>0</v>
      </c>
      <c r="I783" s="271">
        <v>229235.31298828099</v>
      </c>
      <c r="J783" s="270" t="s">
        <v>438</v>
      </c>
      <c r="K783" s="270" t="s">
        <v>439</v>
      </c>
      <c r="L783" s="270" t="s">
        <v>9</v>
      </c>
      <c r="M783" s="270" t="s">
        <v>10</v>
      </c>
      <c r="N783" s="270" t="s">
        <v>728</v>
      </c>
      <c r="O783" s="270" t="s">
        <v>11</v>
      </c>
    </row>
    <row r="784" spans="1:15" s="272" customFormat="1" x14ac:dyDescent="0.25">
      <c r="A784" s="270">
        <v>9</v>
      </c>
      <c r="B784" s="270">
        <v>9</v>
      </c>
      <c r="C784" s="270" t="s">
        <v>940</v>
      </c>
      <c r="D784" s="270">
        <v>5</v>
      </c>
      <c r="E784" s="270" t="s">
        <v>755</v>
      </c>
      <c r="F784" s="270">
        <v>1</v>
      </c>
      <c r="G784" s="270">
        <v>1</v>
      </c>
      <c r="H784" s="270">
        <v>0</v>
      </c>
      <c r="I784" s="271">
        <v>568972.01855468703</v>
      </c>
      <c r="J784" s="270" t="s">
        <v>114</v>
      </c>
      <c r="K784" s="270" t="s">
        <v>115</v>
      </c>
      <c r="L784" s="270" t="s">
        <v>46</v>
      </c>
      <c r="M784" s="270" t="s">
        <v>739</v>
      </c>
      <c r="N784" s="270" t="s">
        <v>728</v>
      </c>
      <c r="O784" s="270" t="s">
        <v>11</v>
      </c>
    </row>
    <row r="785" spans="1:15" s="272" customFormat="1" x14ac:dyDescent="0.25">
      <c r="A785" s="270">
        <v>9</v>
      </c>
      <c r="B785" s="270">
        <v>9</v>
      </c>
      <c r="C785" s="270" t="s">
        <v>940</v>
      </c>
      <c r="D785" s="270">
        <v>5</v>
      </c>
      <c r="E785" s="270" t="s">
        <v>755</v>
      </c>
      <c r="F785" s="270">
        <v>1</v>
      </c>
      <c r="G785" s="270">
        <v>1</v>
      </c>
      <c r="H785" s="270">
        <v>0</v>
      </c>
      <c r="I785" s="271">
        <v>154650.04199218701</v>
      </c>
      <c r="J785" s="270" t="s">
        <v>412</v>
      </c>
      <c r="K785" s="270" t="s">
        <v>413</v>
      </c>
      <c r="L785" s="270" t="s">
        <v>227</v>
      </c>
      <c r="M785" s="270" t="s">
        <v>228</v>
      </c>
      <c r="N785" s="270" t="s">
        <v>728</v>
      </c>
      <c r="O785" s="270" t="s">
        <v>11</v>
      </c>
    </row>
    <row r="786" spans="1:15" s="28" customFormat="1" x14ac:dyDescent="0.25">
      <c r="A786" s="86">
        <v>9</v>
      </c>
      <c r="B786" s="86">
        <v>9</v>
      </c>
      <c r="C786" s="86" t="s">
        <v>940</v>
      </c>
      <c r="D786" s="86">
        <v>5</v>
      </c>
      <c r="E786" s="86" t="s">
        <v>755</v>
      </c>
      <c r="F786" s="86">
        <v>1</v>
      </c>
      <c r="G786" s="86">
        <v>1</v>
      </c>
      <c r="H786" s="86">
        <v>0</v>
      </c>
      <c r="I786" s="87">
        <v>2689935.4316406199</v>
      </c>
      <c r="J786" s="86" t="s">
        <v>464</v>
      </c>
      <c r="K786" s="86" t="s">
        <v>465</v>
      </c>
      <c r="L786" s="86" t="s">
        <v>27</v>
      </c>
      <c r="M786" s="86" t="s">
        <v>738</v>
      </c>
      <c r="N786" s="86" t="s">
        <v>726</v>
      </c>
      <c r="O786" s="86" t="s">
        <v>35</v>
      </c>
    </row>
    <row r="787" spans="1:15" s="129" customFormat="1" x14ac:dyDescent="0.25">
      <c r="A787" s="130">
        <v>9</v>
      </c>
      <c r="B787" s="130">
        <v>9</v>
      </c>
      <c r="C787" s="130" t="s">
        <v>940</v>
      </c>
      <c r="D787" s="130">
        <v>5</v>
      </c>
      <c r="E787" s="130" t="s">
        <v>755</v>
      </c>
      <c r="F787" s="130">
        <v>1</v>
      </c>
      <c r="G787" s="130">
        <v>1</v>
      </c>
      <c r="H787" s="130">
        <v>0</v>
      </c>
      <c r="I787" s="131">
        <v>3382603.16699218</v>
      </c>
      <c r="J787" s="130" t="s">
        <v>249</v>
      </c>
      <c r="K787" s="130" t="s">
        <v>250</v>
      </c>
      <c r="L787" s="130" t="s">
        <v>46</v>
      </c>
      <c r="M787" s="130" t="s">
        <v>739</v>
      </c>
      <c r="N787" s="130" t="s">
        <v>15</v>
      </c>
      <c r="O787" s="130" t="s">
        <v>11</v>
      </c>
    </row>
    <row r="788" spans="1:15" s="129" customFormat="1" x14ac:dyDescent="0.25">
      <c r="A788" s="130">
        <v>9</v>
      </c>
      <c r="B788" s="130">
        <v>9</v>
      </c>
      <c r="C788" s="130" t="s">
        <v>940</v>
      </c>
      <c r="D788" s="130">
        <v>5</v>
      </c>
      <c r="E788" s="130" t="s">
        <v>755</v>
      </c>
      <c r="F788" s="130">
        <v>1</v>
      </c>
      <c r="G788" s="130">
        <v>1</v>
      </c>
      <c r="H788" s="130">
        <v>0</v>
      </c>
      <c r="I788" s="131">
        <v>1248315.1328125</v>
      </c>
      <c r="J788" s="130" t="s">
        <v>438</v>
      </c>
      <c r="K788" s="130" t="s">
        <v>439</v>
      </c>
      <c r="L788" s="130" t="s">
        <v>9</v>
      </c>
      <c r="M788" s="130" t="s">
        <v>10</v>
      </c>
      <c r="N788" s="130" t="s">
        <v>15</v>
      </c>
      <c r="O788" s="130" t="s">
        <v>11</v>
      </c>
    </row>
    <row r="789" spans="1:15" s="129" customFormat="1" x14ac:dyDescent="0.25">
      <c r="A789" s="130">
        <v>9</v>
      </c>
      <c r="B789" s="130">
        <v>9</v>
      </c>
      <c r="C789" s="130" t="s">
        <v>940</v>
      </c>
      <c r="D789" s="130">
        <v>5</v>
      </c>
      <c r="E789" s="130" t="s">
        <v>755</v>
      </c>
      <c r="F789" s="130">
        <v>1</v>
      </c>
      <c r="G789" s="130">
        <v>1</v>
      </c>
      <c r="H789" s="130">
        <v>0</v>
      </c>
      <c r="I789" s="131">
        <v>175.537109375</v>
      </c>
      <c r="J789" s="130" t="s">
        <v>486</v>
      </c>
      <c r="K789" s="130" t="s">
        <v>487</v>
      </c>
      <c r="L789" s="130" t="s">
        <v>80</v>
      </c>
      <c r="M789" s="130" t="s">
        <v>733</v>
      </c>
      <c r="N789" s="130" t="s">
        <v>15</v>
      </c>
      <c r="O789" s="130" t="s">
        <v>11</v>
      </c>
    </row>
    <row r="790" spans="1:15" s="129" customFormat="1" x14ac:dyDescent="0.25">
      <c r="A790" s="130">
        <v>9</v>
      </c>
      <c r="B790" s="130">
        <v>9</v>
      </c>
      <c r="C790" s="130" t="s">
        <v>940</v>
      </c>
      <c r="D790" s="130">
        <v>5</v>
      </c>
      <c r="E790" s="130" t="s">
        <v>755</v>
      </c>
      <c r="F790" s="130">
        <v>1</v>
      </c>
      <c r="G790" s="130">
        <v>1</v>
      </c>
      <c r="H790" s="130">
        <v>0</v>
      </c>
      <c r="I790" s="131">
        <v>1712964.3930664</v>
      </c>
      <c r="J790" s="130" t="s">
        <v>494</v>
      </c>
      <c r="K790" s="130" t="s">
        <v>495</v>
      </c>
      <c r="L790" s="130" t="s">
        <v>46</v>
      </c>
      <c r="M790" s="130" t="s">
        <v>739</v>
      </c>
      <c r="N790" s="130" t="s">
        <v>15</v>
      </c>
      <c r="O790" s="130" t="s">
        <v>11</v>
      </c>
    </row>
    <row r="791" spans="1:15" s="272" customFormat="1" x14ac:dyDescent="0.25">
      <c r="A791" s="270">
        <v>9</v>
      </c>
      <c r="B791" s="270">
        <v>9</v>
      </c>
      <c r="C791" s="270" t="s">
        <v>940</v>
      </c>
      <c r="D791" s="270">
        <v>5</v>
      </c>
      <c r="E791" s="270" t="s">
        <v>755</v>
      </c>
      <c r="F791" s="270">
        <v>1</v>
      </c>
      <c r="G791" s="270">
        <v>1</v>
      </c>
      <c r="H791" s="270">
        <v>0</v>
      </c>
      <c r="I791" s="271">
        <v>571355.810546875</v>
      </c>
      <c r="J791" s="270" t="s">
        <v>381</v>
      </c>
      <c r="K791" s="270" t="s">
        <v>382</v>
      </c>
      <c r="L791" s="270" t="s">
        <v>27</v>
      </c>
      <c r="M791" s="270" t="s">
        <v>738</v>
      </c>
      <c r="N791" s="270" t="s">
        <v>728</v>
      </c>
      <c r="O791" s="270" t="s">
        <v>11</v>
      </c>
    </row>
    <row r="792" spans="1:15" s="28" customFormat="1" x14ac:dyDescent="0.25">
      <c r="A792" s="86">
        <v>9</v>
      </c>
      <c r="B792" s="86">
        <v>9</v>
      </c>
      <c r="C792" s="86" t="s">
        <v>940</v>
      </c>
      <c r="D792" s="86">
        <v>5</v>
      </c>
      <c r="E792" s="86" t="s">
        <v>755</v>
      </c>
      <c r="F792" s="86">
        <v>1</v>
      </c>
      <c r="G792" s="86">
        <v>1</v>
      </c>
      <c r="H792" s="86">
        <v>0</v>
      </c>
      <c r="I792" s="87">
        <v>2471730.1430664002</v>
      </c>
      <c r="J792" s="86" t="s">
        <v>505</v>
      </c>
      <c r="K792" s="86" t="s">
        <v>506</v>
      </c>
      <c r="L792" s="86" t="s">
        <v>27</v>
      </c>
      <c r="M792" s="86" t="s">
        <v>738</v>
      </c>
      <c r="N792" s="86" t="s">
        <v>726</v>
      </c>
      <c r="O792" s="86" t="s">
        <v>35</v>
      </c>
    </row>
    <row r="793" spans="1:15" s="129" customFormat="1" x14ac:dyDescent="0.25">
      <c r="A793" s="130">
        <v>9</v>
      </c>
      <c r="B793" s="130">
        <v>9</v>
      </c>
      <c r="C793" s="130" t="s">
        <v>940</v>
      </c>
      <c r="D793" s="130">
        <v>5</v>
      </c>
      <c r="E793" s="130" t="s">
        <v>755</v>
      </c>
      <c r="F793" s="130">
        <v>1</v>
      </c>
      <c r="G793" s="130">
        <v>1</v>
      </c>
      <c r="H793" s="130">
        <v>0</v>
      </c>
      <c r="I793" s="131">
        <v>616397.83105468703</v>
      </c>
      <c r="J793" s="130" t="s">
        <v>511</v>
      </c>
      <c r="K793" s="130" t="s">
        <v>512</v>
      </c>
      <c r="L793" s="130" t="s">
        <v>27</v>
      </c>
      <c r="M793" s="130" t="s">
        <v>738</v>
      </c>
      <c r="N793" s="130" t="s">
        <v>15</v>
      </c>
      <c r="O793" s="130" t="s">
        <v>11</v>
      </c>
    </row>
    <row r="794" spans="1:15" s="272" customFormat="1" x14ac:dyDescent="0.25">
      <c r="A794" s="270">
        <v>9</v>
      </c>
      <c r="B794" s="270">
        <v>9</v>
      </c>
      <c r="C794" s="270" t="s">
        <v>940</v>
      </c>
      <c r="D794" s="270">
        <v>5</v>
      </c>
      <c r="E794" s="270" t="s">
        <v>755</v>
      </c>
      <c r="F794" s="270">
        <v>1</v>
      </c>
      <c r="G794" s="270">
        <v>1</v>
      </c>
      <c r="H794" s="270">
        <v>0</v>
      </c>
      <c r="I794" s="271">
        <v>341984.01660156198</v>
      </c>
      <c r="J794" s="270" t="s">
        <v>515</v>
      </c>
      <c r="K794" s="270" t="s">
        <v>516</v>
      </c>
      <c r="L794" s="270" t="s">
        <v>27</v>
      </c>
      <c r="M794" s="270" t="s">
        <v>738</v>
      </c>
      <c r="N794" s="270" t="s">
        <v>728</v>
      </c>
      <c r="O794" s="270" t="s">
        <v>11</v>
      </c>
    </row>
    <row r="795" spans="1:15" s="129" customFormat="1" x14ac:dyDescent="0.25">
      <c r="A795" s="130">
        <v>9</v>
      </c>
      <c r="B795" s="130">
        <v>9</v>
      </c>
      <c r="C795" s="130" t="s">
        <v>940</v>
      </c>
      <c r="D795" s="130">
        <v>5</v>
      </c>
      <c r="E795" s="130" t="s">
        <v>755</v>
      </c>
      <c r="F795" s="130">
        <v>1</v>
      </c>
      <c r="G795" s="130">
        <v>1</v>
      </c>
      <c r="H795" s="130">
        <v>0</v>
      </c>
      <c r="I795" s="131">
        <v>2204991.32568359</v>
      </c>
      <c r="J795" s="130" t="s">
        <v>225</v>
      </c>
      <c r="K795" s="130" t="s">
        <v>226</v>
      </c>
      <c r="L795" s="130" t="s">
        <v>227</v>
      </c>
      <c r="M795" s="130" t="s">
        <v>228</v>
      </c>
      <c r="N795" s="130" t="s">
        <v>15</v>
      </c>
      <c r="O795" s="130" t="s">
        <v>11</v>
      </c>
    </row>
    <row r="796" spans="1:15" s="28" customFormat="1" x14ac:dyDescent="0.25">
      <c r="A796" s="86">
        <v>9</v>
      </c>
      <c r="B796" s="86">
        <v>9</v>
      </c>
      <c r="C796" s="86" t="s">
        <v>940</v>
      </c>
      <c r="D796" s="86">
        <v>5</v>
      </c>
      <c r="E796" s="86" t="s">
        <v>755</v>
      </c>
      <c r="F796" s="86">
        <v>1</v>
      </c>
      <c r="G796" s="86">
        <v>1</v>
      </c>
      <c r="H796" s="86">
        <v>0</v>
      </c>
      <c r="I796" s="87">
        <v>1131697.8837890599</v>
      </c>
      <c r="J796" s="86" t="s">
        <v>521</v>
      </c>
      <c r="K796" s="86" t="s">
        <v>522</v>
      </c>
      <c r="L796" s="86" t="s">
        <v>27</v>
      </c>
      <c r="M796" s="86" t="s">
        <v>738</v>
      </c>
      <c r="N796" s="86" t="s">
        <v>726</v>
      </c>
      <c r="O796" s="86" t="s">
        <v>35</v>
      </c>
    </row>
    <row r="797" spans="1:15" s="264" customFormat="1" x14ac:dyDescent="0.25">
      <c r="A797" s="262">
        <v>9</v>
      </c>
      <c r="B797" s="262">
        <v>9</v>
      </c>
      <c r="C797" s="262" t="s">
        <v>940</v>
      </c>
      <c r="D797" s="262">
        <v>5</v>
      </c>
      <c r="E797" s="262" t="s">
        <v>755</v>
      </c>
      <c r="F797" s="262">
        <v>1</v>
      </c>
      <c r="G797" s="262">
        <v>1</v>
      </c>
      <c r="H797" s="262">
        <v>0</v>
      </c>
      <c r="I797" s="263">
        <v>5224.37890625</v>
      </c>
      <c r="J797" s="262" t="s">
        <v>523</v>
      </c>
      <c r="K797" s="262" t="s">
        <v>524</v>
      </c>
      <c r="L797" s="262" t="s">
        <v>46</v>
      </c>
      <c r="M797" s="262" t="s">
        <v>739</v>
      </c>
      <c r="N797" s="262" t="s">
        <v>727</v>
      </c>
      <c r="O797" s="262" t="s">
        <v>11</v>
      </c>
    </row>
    <row r="798" spans="1:15" s="272" customFormat="1" x14ac:dyDescent="0.25">
      <c r="A798" s="270">
        <v>9</v>
      </c>
      <c r="B798" s="270">
        <v>9</v>
      </c>
      <c r="C798" s="270" t="s">
        <v>940</v>
      </c>
      <c r="D798" s="270">
        <v>5</v>
      </c>
      <c r="E798" s="270" t="s">
        <v>755</v>
      </c>
      <c r="F798" s="270">
        <v>1</v>
      </c>
      <c r="G798" s="270">
        <v>1</v>
      </c>
      <c r="H798" s="270">
        <v>0</v>
      </c>
      <c r="I798" s="271">
        <v>161530.09423828099</v>
      </c>
      <c r="J798" s="270" t="s">
        <v>277</v>
      </c>
      <c r="K798" s="270" t="s">
        <v>278</v>
      </c>
      <c r="L798" s="270" t="s">
        <v>46</v>
      </c>
      <c r="M798" s="270" t="s">
        <v>739</v>
      </c>
      <c r="N798" s="270" t="s">
        <v>728</v>
      </c>
      <c r="O798" s="270" t="s">
        <v>11</v>
      </c>
    </row>
    <row r="799" spans="1:15" s="264" customFormat="1" x14ac:dyDescent="0.25">
      <c r="A799" s="262">
        <v>9</v>
      </c>
      <c r="B799" s="262">
        <v>9</v>
      </c>
      <c r="C799" s="262" t="s">
        <v>940</v>
      </c>
      <c r="D799" s="262">
        <v>5</v>
      </c>
      <c r="E799" s="262" t="s">
        <v>755</v>
      </c>
      <c r="F799" s="262">
        <v>1</v>
      </c>
      <c r="G799" s="262">
        <v>1</v>
      </c>
      <c r="H799" s="262">
        <v>0</v>
      </c>
      <c r="I799" s="263">
        <v>1206.80517578125</v>
      </c>
      <c r="J799" s="262" t="s">
        <v>243</v>
      </c>
      <c r="K799" s="262" t="s">
        <v>244</v>
      </c>
      <c r="L799" s="262" t="s">
        <v>46</v>
      </c>
      <c r="M799" s="262" t="s">
        <v>739</v>
      </c>
      <c r="N799" s="262" t="s">
        <v>727</v>
      </c>
      <c r="O799" s="262" t="s">
        <v>11</v>
      </c>
    </row>
    <row r="800" spans="1:15" s="264" customFormat="1" x14ac:dyDescent="0.25">
      <c r="A800" s="262">
        <v>9</v>
      </c>
      <c r="B800" s="262">
        <v>9</v>
      </c>
      <c r="C800" s="262" t="s">
        <v>940</v>
      </c>
      <c r="D800" s="262">
        <v>5</v>
      </c>
      <c r="E800" s="262" t="s">
        <v>755</v>
      </c>
      <c r="F800" s="262">
        <v>1</v>
      </c>
      <c r="G800" s="262">
        <v>1</v>
      </c>
      <c r="H800" s="262">
        <v>0</v>
      </c>
      <c r="I800" s="263">
        <v>21561.539550781199</v>
      </c>
      <c r="J800" s="262" t="s">
        <v>515</v>
      </c>
      <c r="K800" s="262" t="s">
        <v>516</v>
      </c>
      <c r="L800" s="262" t="s">
        <v>27</v>
      </c>
      <c r="M800" s="262" t="s">
        <v>738</v>
      </c>
      <c r="N800" s="262" t="s">
        <v>727</v>
      </c>
      <c r="O800" s="262" t="s">
        <v>11</v>
      </c>
    </row>
    <row r="801" spans="1:15" s="272" customFormat="1" x14ac:dyDescent="0.25">
      <c r="A801" s="270">
        <v>9</v>
      </c>
      <c r="B801" s="270">
        <v>9</v>
      </c>
      <c r="C801" s="270" t="s">
        <v>940</v>
      </c>
      <c r="D801" s="270">
        <v>5</v>
      </c>
      <c r="E801" s="270" t="s">
        <v>755</v>
      </c>
      <c r="F801" s="270">
        <v>1</v>
      </c>
      <c r="G801" s="270">
        <v>1</v>
      </c>
      <c r="H801" s="270">
        <v>0</v>
      </c>
      <c r="I801" s="271">
        <v>90451.131347656206</v>
      </c>
      <c r="J801" s="270" t="s">
        <v>44</v>
      </c>
      <c r="K801" s="270" t="s">
        <v>45</v>
      </c>
      <c r="L801" s="270" t="s">
        <v>46</v>
      </c>
      <c r="M801" s="270" t="s">
        <v>739</v>
      </c>
      <c r="N801" s="270" t="s">
        <v>728</v>
      </c>
      <c r="O801" s="270" t="s">
        <v>11</v>
      </c>
    </row>
    <row r="802" spans="1:15" s="129" customFormat="1" x14ac:dyDescent="0.25">
      <c r="A802" s="130">
        <v>9</v>
      </c>
      <c r="B802" s="130">
        <v>9</v>
      </c>
      <c r="C802" s="130" t="s">
        <v>940</v>
      </c>
      <c r="D802" s="130">
        <v>5</v>
      </c>
      <c r="E802" s="130" t="s">
        <v>755</v>
      </c>
      <c r="F802" s="130">
        <v>1</v>
      </c>
      <c r="G802" s="130">
        <v>1</v>
      </c>
      <c r="H802" s="130">
        <v>0</v>
      </c>
      <c r="I802" s="131">
        <v>4586469.4135742104</v>
      </c>
      <c r="J802" s="130" t="s">
        <v>343</v>
      </c>
      <c r="K802" s="130" t="s">
        <v>344</v>
      </c>
      <c r="L802" s="130" t="s">
        <v>227</v>
      </c>
      <c r="M802" s="130" t="s">
        <v>228</v>
      </c>
      <c r="N802" s="130" t="s">
        <v>15</v>
      </c>
      <c r="O802" s="130" t="s">
        <v>11</v>
      </c>
    </row>
    <row r="803" spans="1:15" s="129" customFormat="1" x14ac:dyDescent="0.25">
      <c r="A803" s="130">
        <v>9</v>
      </c>
      <c r="B803" s="130">
        <v>9</v>
      </c>
      <c r="C803" s="130" t="s">
        <v>940</v>
      </c>
      <c r="D803" s="130">
        <v>5</v>
      </c>
      <c r="E803" s="130" t="s">
        <v>755</v>
      </c>
      <c r="F803" s="130">
        <v>1</v>
      </c>
      <c r="G803" s="130">
        <v>1</v>
      </c>
      <c r="H803" s="130">
        <v>0</v>
      </c>
      <c r="I803" s="131">
        <v>539770.345703125</v>
      </c>
      <c r="J803" s="130" t="s">
        <v>233</v>
      </c>
      <c r="K803" s="130" t="s">
        <v>234</v>
      </c>
      <c r="L803" s="130" t="s">
        <v>80</v>
      </c>
      <c r="M803" s="130" t="s">
        <v>733</v>
      </c>
      <c r="N803" s="130" t="s">
        <v>15</v>
      </c>
      <c r="O803" s="130" t="s">
        <v>11</v>
      </c>
    </row>
    <row r="804" spans="1:15" s="28" customFormat="1" x14ac:dyDescent="0.25">
      <c r="A804" s="86">
        <v>9</v>
      </c>
      <c r="B804" s="86">
        <v>9</v>
      </c>
      <c r="C804" s="86" t="s">
        <v>940</v>
      </c>
      <c r="D804" s="86">
        <v>5</v>
      </c>
      <c r="E804" s="86" t="s">
        <v>755</v>
      </c>
      <c r="F804" s="86">
        <v>1</v>
      </c>
      <c r="G804" s="86">
        <v>1</v>
      </c>
      <c r="H804" s="86">
        <v>0</v>
      </c>
      <c r="I804" s="87">
        <v>2684479.4462890602</v>
      </c>
      <c r="J804" s="86" t="s">
        <v>545</v>
      </c>
      <c r="K804" s="86" t="s">
        <v>546</v>
      </c>
      <c r="L804" s="86" t="s">
        <v>27</v>
      </c>
      <c r="M804" s="86" t="s">
        <v>738</v>
      </c>
      <c r="N804" s="86" t="s">
        <v>726</v>
      </c>
      <c r="O804" s="86" t="s">
        <v>35</v>
      </c>
    </row>
    <row r="805" spans="1:15" s="272" customFormat="1" x14ac:dyDescent="0.25">
      <c r="A805" s="270">
        <v>9</v>
      </c>
      <c r="B805" s="270">
        <v>9</v>
      </c>
      <c r="C805" s="270" t="s">
        <v>940</v>
      </c>
      <c r="D805" s="270">
        <v>5</v>
      </c>
      <c r="E805" s="270" t="s">
        <v>755</v>
      </c>
      <c r="F805" s="270">
        <v>1</v>
      </c>
      <c r="G805" s="270">
        <v>1</v>
      </c>
      <c r="H805" s="270">
        <v>0</v>
      </c>
      <c r="I805" s="271">
        <v>199.587890625</v>
      </c>
      <c r="J805" s="270" t="s">
        <v>557</v>
      </c>
      <c r="K805" s="270" t="s">
        <v>558</v>
      </c>
      <c r="L805" s="270" t="s">
        <v>27</v>
      </c>
      <c r="M805" s="270" t="s">
        <v>738</v>
      </c>
      <c r="N805" s="270" t="s">
        <v>728</v>
      </c>
      <c r="O805" s="270" t="s">
        <v>11</v>
      </c>
    </row>
    <row r="806" spans="1:15" s="28" customFormat="1" x14ac:dyDescent="0.25">
      <c r="A806" s="86">
        <v>9</v>
      </c>
      <c r="B806" s="86">
        <v>9</v>
      </c>
      <c r="C806" s="86" t="s">
        <v>940</v>
      </c>
      <c r="D806" s="86">
        <v>5</v>
      </c>
      <c r="E806" s="86" t="s">
        <v>755</v>
      </c>
      <c r="F806" s="86">
        <v>1</v>
      </c>
      <c r="G806" s="86">
        <v>1</v>
      </c>
      <c r="H806" s="86">
        <v>0</v>
      </c>
      <c r="I806" s="87">
        <v>834104.48779296805</v>
      </c>
      <c r="J806" s="86" t="s">
        <v>559</v>
      </c>
      <c r="K806" s="86" t="s">
        <v>560</v>
      </c>
      <c r="L806" s="86" t="s">
        <v>27</v>
      </c>
      <c r="M806" s="86" t="s">
        <v>738</v>
      </c>
      <c r="N806" s="86" t="s">
        <v>726</v>
      </c>
      <c r="O806" s="86" t="s">
        <v>35</v>
      </c>
    </row>
    <row r="807" spans="1:15" s="129" customFormat="1" x14ac:dyDescent="0.25">
      <c r="A807" s="130">
        <v>9</v>
      </c>
      <c r="B807" s="130">
        <v>9</v>
      </c>
      <c r="C807" s="130" t="s">
        <v>940</v>
      </c>
      <c r="D807" s="130">
        <v>5</v>
      </c>
      <c r="E807" s="130" t="s">
        <v>755</v>
      </c>
      <c r="F807" s="130">
        <v>1</v>
      </c>
      <c r="G807" s="130">
        <v>1</v>
      </c>
      <c r="H807" s="130">
        <v>0</v>
      </c>
      <c r="I807" s="131">
        <v>1763283.9736328099</v>
      </c>
      <c r="J807" s="130" t="s">
        <v>25</v>
      </c>
      <c r="K807" s="130" t="s">
        <v>26</v>
      </c>
      <c r="L807" s="130" t="s">
        <v>27</v>
      </c>
      <c r="M807" s="130" t="s">
        <v>738</v>
      </c>
      <c r="N807" s="130" t="s">
        <v>15</v>
      </c>
      <c r="O807" s="130" t="s">
        <v>11</v>
      </c>
    </row>
    <row r="808" spans="1:15" s="129" customFormat="1" x14ac:dyDescent="0.25">
      <c r="A808" s="130">
        <v>9</v>
      </c>
      <c r="B808" s="130">
        <v>9</v>
      </c>
      <c r="C808" s="130" t="s">
        <v>940</v>
      </c>
      <c r="D808" s="130">
        <v>5</v>
      </c>
      <c r="E808" s="130" t="s">
        <v>755</v>
      </c>
      <c r="F808" s="130">
        <v>1</v>
      </c>
      <c r="G808" s="130">
        <v>1</v>
      </c>
      <c r="H808" s="130">
        <v>0</v>
      </c>
      <c r="I808" s="131">
        <v>1205007.6962890599</v>
      </c>
      <c r="J808" s="130" t="s">
        <v>515</v>
      </c>
      <c r="K808" s="130" t="s">
        <v>516</v>
      </c>
      <c r="L808" s="130" t="s">
        <v>27</v>
      </c>
      <c r="M808" s="130" t="s">
        <v>738</v>
      </c>
      <c r="N808" s="130" t="s">
        <v>15</v>
      </c>
      <c r="O808" s="130" t="s">
        <v>11</v>
      </c>
    </row>
    <row r="809" spans="1:15" s="264" customFormat="1" x14ac:dyDescent="0.25">
      <c r="A809" s="262">
        <v>9</v>
      </c>
      <c r="B809" s="262">
        <v>9</v>
      </c>
      <c r="C809" s="262" t="s">
        <v>940</v>
      </c>
      <c r="D809" s="262">
        <v>5</v>
      </c>
      <c r="E809" s="262" t="s">
        <v>755</v>
      </c>
      <c r="F809" s="262">
        <v>1</v>
      </c>
      <c r="G809" s="262">
        <v>1</v>
      </c>
      <c r="H809" s="262">
        <v>0</v>
      </c>
      <c r="I809" s="263">
        <v>7543.70751953125</v>
      </c>
      <c r="J809" s="262" t="s">
        <v>245</v>
      </c>
      <c r="K809" s="262" t="s">
        <v>246</v>
      </c>
      <c r="L809" s="262" t="s">
        <v>9</v>
      </c>
      <c r="M809" s="262" t="s">
        <v>10</v>
      </c>
      <c r="N809" s="262" t="s">
        <v>727</v>
      </c>
      <c r="O809" s="262" t="s">
        <v>11</v>
      </c>
    </row>
    <row r="810" spans="1:15" s="28" customFormat="1" x14ac:dyDescent="0.25">
      <c r="A810" s="86">
        <v>9</v>
      </c>
      <c r="B810" s="86">
        <v>9</v>
      </c>
      <c r="C810" s="86" t="s">
        <v>940</v>
      </c>
      <c r="D810" s="86">
        <v>5</v>
      </c>
      <c r="E810" s="86" t="s">
        <v>755</v>
      </c>
      <c r="F810" s="86">
        <v>1</v>
      </c>
      <c r="G810" s="86">
        <v>1</v>
      </c>
      <c r="H810" s="86">
        <v>0</v>
      </c>
      <c r="I810" s="87">
        <v>79343.2607421875</v>
      </c>
      <c r="J810" s="86" t="s">
        <v>533</v>
      </c>
      <c r="K810" s="86" t="s">
        <v>534</v>
      </c>
      <c r="L810" s="86" t="s">
        <v>411</v>
      </c>
      <c r="M810" s="86" t="s">
        <v>1124</v>
      </c>
      <c r="N810" s="86" t="s">
        <v>726</v>
      </c>
      <c r="O810" s="86" t="s">
        <v>35</v>
      </c>
    </row>
    <row r="811" spans="1:15" s="272" customFormat="1" x14ac:dyDescent="0.25">
      <c r="A811" s="270">
        <v>9</v>
      </c>
      <c r="B811" s="270">
        <v>9</v>
      </c>
      <c r="C811" s="270" t="s">
        <v>940</v>
      </c>
      <c r="D811" s="270">
        <v>5</v>
      </c>
      <c r="E811" s="270" t="s">
        <v>755</v>
      </c>
      <c r="F811" s="270">
        <v>1</v>
      </c>
      <c r="G811" s="270">
        <v>1</v>
      </c>
      <c r="H811" s="270">
        <v>0</v>
      </c>
      <c r="I811" s="271">
        <v>897409.52246093703</v>
      </c>
      <c r="J811" s="270" t="s">
        <v>343</v>
      </c>
      <c r="K811" s="270" t="s">
        <v>344</v>
      </c>
      <c r="L811" s="270" t="s">
        <v>227</v>
      </c>
      <c r="M811" s="270" t="s">
        <v>228</v>
      </c>
      <c r="N811" s="270" t="s">
        <v>728</v>
      </c>
      <c r="O811" s="270" t="s">
        <v>11</v>
      </c>
    </row>
    <row r="812" spans="1:15" s="272" customFormat="1" x14ac:dyDescent="0.25">
      <c r="A812" s="270">
        <v>9</v>
      </c>
      <c r="B812" s="270">
        <v>9</v>
      </c>
      <c r="C812" s="270" t="s">
        <v>940</v>
      </c>
      <c r="D812" s="270">
        <v>5</v>
      </c>
      <c r="E812" s="270" t="s">
        <v>755</v>
      </c>
      <c r="F812" s="270">
        <v>1</v>
      </c>
      <c r="G812" s="270">
        <v>1</v>
      </c>
      <c r="H812" s="270">
        <v>0</v>
      </c>
      <c r="I812" s="271">
        <v>497324.12744140602</v>
      </c>
      <c r="J812" s="270" t="s">
        <v>249</v>
      </c>
      <c r="K812" s="270" t="s">
        <v>250</v>
      </c>
      <c r="L812" s="270" t="s">
        <v>46</v>
      </c>
      <c r="M812" s="270" t="s">
        <v>739</v>
      </c>
      <c r="N812" s="270" t="s">
        <v>728</v>
      </c>
      <c r="O812" s="270" t="s">
        <v>11</v>
      </c>
    </row>
    <row r="813" spans="1:15" s="272" customFormat="1" x14ac:dyDescent="0.25">
      <c r="A813" s="270">
        <v>9</v>
      </c>
      <c r="B813" s="270">
        <v>9</v>
      </c>
      <c r="C813" s="270" t="s">
        <v>940</v>
      </c>
      <c r="D813" s="270">
        <v>5</v>
      </c>
      <c r="E813" s="270" t="s">
        <v>755</v>
      </c>
      <c r="F813" s="270">
        <v>1</v>
      </c>
      <c r="G813" s="270">
        <v>1</v>
      </c>
      <c r="H813" s="270">
        <v>0</v>
      </c>
      <c r="I813" s="271">
        <v>230877.97167968701</v>
      </c>
      <c r="J813" s="270" t="s">
        <v>494</v>
      </c>
      <c r="K813" s="270" t="s">
        <v>495</v>
      </c>
      <c r="L813" s="270" t="s">
        <v>46</v>
      </c>
      <c r="M813" s="270" t="s">
        <v>739</v>
      </c>
      <c r="N813" s="270" t="s">
        <v>728</v>
      </c>
      <c r="O813" s="270" t="s">
        <v>11</v>
      </c>
    </row>
    <row r="814" spans="1:15" s="28" customFormat="1" x14ac:dyDescent="0.25">
      <c r="A814" s="86">
        <v>9</v>
      </c>
      <c r="B814" s="86">
        <v>9</v>
      </c>
      <c r="C814" s="86" t="s">
        <v>940</v>
      </c>
      <c r="D814" s="86">
        <v>5</v>
      </c>
      <c r="E814" s="86" t="s">
        <v>755</v>
      </c>
      <c r="F814" s="86">
        <v>1</v>
      </c>
      <c r="G814" s="86">
        <v>1</v>
      </c>
      <c r="H814" s="86">
        <v>0</v>
      </c>
      <c r="I814" s="87">
        <v>34311.549316406199</v>
      </c>
      <c r="J814" s="86" t="s">
        <v>409</v>
      </c>
      <c r="K814" s="86" t="s">
        <v>410</v>
      </c>
      <c r="L814" s="86" t="s">
        <v>411</v>
      </c>
      <c r="M814" s="86" t="s">
        <v>1124</v>
      </c>
      <c r="N814" s="86" t="s">
        <v>726</v>
      </c>
      <c r="O814" s="86" t="s">
        <v>35</v>
      </c>
    </row>
    <row r="815" spans="1:15" s="28" customFormat="1" x14ac:dyDescent="0.25">
      <c r="A815" s="86">
        <v>9</v>
      </c>
      <c r="B815" s="86">
        <v>9</v>
      </c>
      <c r="C815" s="86" t="s">
        <v>940</v>
      </c>
      <c r="D815" s="86">
        <v>5</v>
      </c>
      <c r="E815" s="86" t="s">
        <v>755</v>
      </c>
      <c r="F815" s="86">
        <v>1</v>
      </c>
      <c r="G815" s="86">
        <v>1</v>
      </c>
      <c r="H815" s="86">
        <v>0</v>
      </c>
      <c r="I815" s="87">
        <v>39568.8349609375</v>
      </c>
      <c r="J815" s="86" t="s">
        <v>581</v>
      </c>
      <c r="K815" s="86" t="s">
        <v>582</v>
      </c>
      <c r="L815" s="86" t="s">
        <v>30</v>
      </c>
      <c r="M815" s="86" t="s">
        <v>732</v>
      </c>
      <c r="N815" s="86" t="s">
        <v>726</v>
      </c>
      <c r="O815" s="86" t="s">
        <v>35</v>
      </c>
    </row>
    <row r="816" spans="1:15" s="264" customFormat="1" x14ac:dyDescent="0.25">
      <c r="A816" s="262">
        <v>9</v>
      </c>
      <c r="B816" s="262">
        <v>9</v>
      </c>
      <c r="C816" s="262" t="s">
        <v>940</v>
      </c>
      <c r="D816" s="262">
        <v>5</v>
      </c>
      <c r="E816" s="262" t="s">
        <v>755</v>
      </c>
      <c r="F816" s="262">
        <v>1</v>
      </c>
      <c r="G816" s="262">
        <v>1</v>
      </c>
      <c r="H816" s="262">
        <v>0</v>
      </c>
      <c r="I816" s="263">
        <v>42486.533203125</v>
      </c>
      <c r="J816" s="262" t="s">
        <v>438</v>
      </c>
      <c r="K816" s="262" t="s">
        <v>439</v>
      </c>
      <c r="L816" s="262" t="s">
        <v>9</v>
      </c>
      <c r="M816" s="262" t="s">
        <v>10</v>
      </c>
      <c r="N816" s="262" t="s">
        <v>727</v>
      </c>
      <c r="O816" s="262" t="s">
        <v>11</v>
      </c>
    </row>
    <row r="817" spans="1:15" s="272" customFormat="1" x14ac:dyDescent="0.25">
      <c r="A817" s="270">
        <v>9</v>
      </c>
      <c r="B817" s="270">
        <v>9</v>
      </c>
      <c r="C817" s="270" t="s">
        <v>940</v>
      </c>
      <c r="D817" s="270">
        <v>5</v>
      </c>
      <c r="E817" s="270" t="s">
        <v>755</v>
      </c>
      <c r="F817" s="270">
        <v>1</v>
      </c>
      <c r="G817" s="270">
        <v>1</v>
      </c>
      <c r="H817" s="270">
        <v>0</v>
      </c>
      <c r="I817" s="271">
        <v>1411.4189453125</v>
      </c>
      <c r="J817" s="270" t="s">
        <v>587</v>
      </c>
      <c r="K817" s="270" t="s">
        <v>588</v>
      </c>
      <c r="L817" s="270" t="s">
        <v>27</v>
      </c>
      <c r="M817" s="270" t="s">
        <v>738</v>
      </c>
      <c r="N817" s="270" t="s">
        <v>728</v>
      </c>
      <c r="O817" s="270" t="s">
        <v>11</v>
      </c>
    </row>
    <row r="818" spans="1:15" s="272" customFormat="1" x14ac:dyDescent="0.25">
      <c r="A818" s="270">
        <v>9</v>
      </c>
      <c r="B818" s="270">
        <v>9</v>
      </c>
      <c r="C818" s="270" t="s">
        <v>940</v>
      </c>
      <c r="D818" s="270">
        <v>5</v>
      </c>
      <c r="E818" s="270" t="s">
        <v>755</v>
      </c>
      <c r="F818" s="270">
        <v>1</v>
      </c>
      <c r="G818" s="270">
        <v>1</v>
      </c>
      <c r="H818" s="270">
        <v>0</v>
      </c>
      <c r="I818" s="271">
        <v>165.8505859375</v>
      </c>
      <c r="J818" s="270" t="s">
        <v>486</v>
      </c>
      <c r="K818" s="270" t="s">
        <v>487</v>
      </c>
      <c r="L818" s="270" t="s">
        <v>80</v>
      </c>
      <c r="M818" s="270" t="s">
        <v>733</v>
      </c>
      <c r="N818" s="270" t="s">
        <v>728</v>
      </c>
      <c r="O818" s="270" t="s">
        <v>11</v>
      </c>
    </row>
    <row r="819" spans="1:15" s="129" customFormat="1" x14ac:dyDescent="0.25">
      <c r="A819" s="130">
        <v>9</v>
      </c>
      <c r="B819" s="130">
        <v>9</v>
      </c>
      <c r="C819" s="130" t="s">
        <v>940</v>
      </c>
      <c r="D819" s="130">
        <v>5</v>
      </c>
      <c r="E819" s="130" t="s">
        <v>755</v>
      </c>
      <c r="F819" s="130">
        <v>1</v>
      </c>
      <c r="G819" s="130">
        <v>1</v>
      </c>
      <c r="H819" s="130">
        <v>0</v>
      </c>
      <c r="I819" s="131">
        <v>1003803.90234375</v>
      </c>
      <c r="J819" s="130" t="s">
        <v>245</v>
      </c>
      <c r="K819" s="130" t="s">
        <v>246</v>
      </c>
      <c r="L819" s="130" t="s">
        <v>9</v>
      </c>
      <c r="M819" s="130" t="s">
        <v>10</v>
      </c>
      <c r="N819" s="130" t="s">
        <v>15</v>
      </c>
      <c r="O819" s="130" t="s">
        <v>11</v>
      </c>
    </row>
    <row r="820" spans="1:15" s="275" customFormat="1" x14ac:dyDescent="0.25">
      <c r="A820" s="273">
        <v>9</v>
      </c>
      <c r="B820" s="273">
        <v>9</v>
      </c>
      <c r="C820" s="273" t="s">
        <v>940</v>
      </c>
      <c r="D820" s="273">
        <v>5</v>
      </c>
      <c r="E820" s="273" t="s">
        <v>755</v>
      </c>
      <c r="F820" s="273">
        <v>1</v>
      </c>
      <c r="G820" s="273">
        <v>1</v>
      </c>
      <c r="H820" s="273">
        <v>0</v>
      </c>
      <c r="I820" s="274">
        <v>182339.640625</v>
      </c>
      <c r="J820" s="273" t="s">
        <v>343</v>
      </c>
      <c r="K820" s="273" t="s">
        <v>344</v>
      </c>
      <c r="L820" s="273" t="s">
        <v>227</v>
      </c>
      <c r="M820" s="273" t="s">
        <v>228</v>
      </c>
      <c r="N820" s="273" t="s">
        <v>730</v>
      </c>
      <c r="O820" s="273" t="s">
        <v>11</v>
      </c>
    </row>
    <row r="821" spans="1:15" s="129" customFormat="1" x14ac:dyDescent="0.25">
      <c r="A821" s="130">
        <v>9</v>
      </c>
      <c r="B821" s="130">
        <v>9</v>
      </c>
      <c r="C821" s="130" t="s">
        <v>940</v>
      </c>
      <c r="D821" s="130">
        <v>5</v>
      </c>
      <c r="E821" s="130" t="s">
        <v>755</v>
      </c>
      <c r="F821" s="130">
        <v>1</v>
      </c>
      <c r="G821" s="130">
        <v>1</v>
      </c>
      <c r="H821" s="130">
        <v>0</v>
      </c>
      <c r="I821" s="131">
        <v>6.8046875</v>
      </c>
      <c r="J821" s="130" t="s">
        <v>587</v>
      </c>
      <c r="K821" s="130" t="s">
        <v>588</v>
      </c>
      <c r="L821" s="130" t="s">
        <v>27</v>
      </c>
      <c r="M821" s="130" t="s">
        <v>738</v>
      </c>
      <c r="N821" s="130" t="s">
        <v>15</v>
      </c>
      <c r="O821" s="130" t="s">
        <v>11</v>
      </c>
    </row>
    <row r="822" spans="1:15" s="28" customFormat="1" x14ac:dyDescent="0.25">
      <c r="A822" s="86">
        <v>9</v>
      </c>
      <c r="B822" s="86">
        <v>9</v>
      </c>
      <c r="C822" s="86" t="s">
        <v>940</v>
      </c>
      <c r="D822" s="86">
        <v>5</v>
      </c>
      <c r="E822" s="86" t="s">
        <v>755</v>
      </c>
      <c r="F822" s="86">
        <v>1</v>
      </c>
      <c r="G822" s="86">
        <v>1</v>
      </c>
      <c r="H822" s="86">
        <v>0</v>
      </c>
      <c r="I822" s="87">
        <v>3225892.1137695299</v>
      </c>
      <c r="J822" s="86" t="s">
        <v>591</v>
      </c>
      <c r="K822" s="86" t="s">
        <v>592</v>
      </c>
      <c r="L822" s="86" t="s">
        <v>27</v>
      </c>
      <c r="M822" s="86" t="s">
        <v>738</v>
      </c>
      <c r="N822" s="86" t="s">
        <v>726</v>
      </c>
      <c r="O822" s="86" t="s">
        <v>35</v>
      </c>
    </row>
    <row r="823" spans="1:15" s="129" customFormat="1" x14ac:dyDescent="0.25">
      <c r="A823" s="130">
        <v>9</v>
      </c>
      <c r="B823" s="130">
        <v>9</v>
      </c>
      <c r="C823" s="130" t="s">
        <v>940</v>
      </c>
      <c r="D823" s="130">
        <v>5</v>
      </c>
      <c r="E823" s="130" t="s">
        <v>755</v>
      </c>
      <c r="F823" s="130">
        <v>1</v>
      </c>
      <c r="G823" s="130">
        <v>1</v>
      </c>
      <c r="H823" s="130">
        <v>0</v>
      </c>
      <c r="I823" s="131">
        <v>478530.29541015602</v>
      </c>
      <c r="J823" s="130" t="s">
        <v>603</v>
      </c>
      <c r="K823" s="130" t="s">
        <v>604</v>
      </c>
      <c r="L823" s="130" t="s">
        <v>46</v>
      </c>
      <c r="M823" s="130" t="s">
        <v>739</v>
      </c>
      <c r="N823" s="130" t="s">
        <v>15</v>
      </c>
      <c r="O823" s="130" t="s">
        <v>11</v>
      </c>
    </row>
    <row r="824" spans="1:15" s="28" customFormat="1" x14ac:dyDescent="0.25">
      <c r="A824" s="86">
        <v>9</v>
      </c>
      <c r="B824" s="86">
        <v>9</v>
      </c>
      <c r="C824" s="86" t="s">
        <v>940</v>
      </c>
      <c r="D824" s="86">
        <v>5</v>
      </c>
      <c r="E824" s="86" t="s">
        <v>755</v>
      </c>
      <c r="F824" s="86">
        <v>1</v>
      </c>
      <c r="G824" s="86">
        <v>1</v>
      </c>
      <c r="H824" s="86">
        <v>0</v>
      </c>
      <c r="I824" s="87">
        <v>596099.24902343703</v>
      </c>
      <c r="J824" s="86" t="s">
        <v>605</v>
      </c>
      <c r="K824" s="86" t="s">
        <v>606</v>
      </c>
      <c r="L824" s="86" t="s">
        <v>46</v>
      </c>
      <c r="M824" s="86" t="s">
        <v>739</v>
      </c>
      <c r="N824" s="86" t="s">
        <v>726</v>
      </c>
      <c r="O824" s="86" t="s">
        <v>35</v>
      </c>
    </row>
    <row r="825" spans="1:15" s="28" customFormat="1" x14ac:dyDescent="0.25">
      <c r="A825" s="86">
        <v>9</v>
      </c>
      <c r="B825" s="86">
        <v>9</v>
      </c>
      <c r="C825" s="86" t="s">
        <v>940</v>
      </c>
      <c r="D825" s="86">
        <v>5</v>
      </c>
      <c r="E825" s="86" t="s">
        <v>755</v>
      </c>
      <c r="F825" s="86">
        <v>1</v>
      </c>
      <c r="G825" s="86">
        <v>1</v>
      </c>
      <c r="H825" s="86">
        <v>0</v>
      </c>
      <c r="I825" s="87">
        <v>779329.36181640602</v>
      </c>
      <c r="J825" s="86" t="s">
        <v>607</v>
      </c>
      <c r="K825" s="86" t="s">
        <v>608</v>
      </c>
      <c r="L825" s="86" t="s">
        <v>27</v>
      </c>
      <c r="M825" s="86" t="s">
        <v>738</v>
      </c>
      <c r="N825" s="86" t="s">
        <v>726</v>
      </c>
      <c r="O825" s="86" t="s">
        <v>35</v>
      </c>
    </row>
    <row r="826" spans="1:15" s="264" customFormat="1" x14ac:dyDescent="0.25">
      <c r="A826" s="262">
        <v>9</v>
      </c>
      <c r="B826" s="262">
        <v>9</v>
      </c>
      <c r="C826" s="262" t="s">
        <v>940</v>
      </c>
      <c r="D826" s="262">
        <v>5</v>
      </c>
      <c r="E826" s="262" t="s">
        <v>755</v>
      </c>
      <c r="F826" s="262">
        <v>1</v>
      </c>
      <c r="G826" s="262">
        <v>1</v>
      </c>
      <c r="H826" s="262">
        <v>0</v>
      </c>
      <c r="I826" s="263">
        <v>3809.958984375</v>
      </c>
      <c r="J826" s="262" t="s">
        <v>511</v>
      </c>
      <c r="K826" s="262" t="s">
        <v>512</v>
      </c>
      <c r="L826" s="262" t="s">
        <v>27</v>
      </c>
      <c r="M826" s="262" t="s">
        <v>738</v>
      </c>
      <c r="N826" s="262" t="s">
        <v>727</v>
      </c>
      <c r="O826" s="262" t="s">
        <v>11</v>
      </c>
    </row>
    <row r="827" spans="1:15" s="129" customFormat="1" x14ac:dyDescent="0.25">
      <c r="A827" s="130">
        <v>9</v>
      </c>
      <c r="B827" s="130">
        <v>9</v>
      </c>
      <c r="C827" s="130" t="s">
        <v>940</v>
      </c>
      <c r="D827" s="130">
        <v>5</v>
      </c>
      <c r="E827" s="130" t="s">
        <v>755</v>
      </c>
      <c r="F827" s="130">
        <v>1</v>
      </c>
      <c r="G827" s="130">
        <v>1</v>
      </c>
      <c r="H827" s="130">
        <v>0</v>
      </c>
      <c r="I827" s="131">
        <v>1676631.7480468701</v>
      </c>
      <c r="J827" s="130" t="s">
        <v>207</v>
      </c>
      <c r="K827" s="130" t="s">
        <v>208</v>
      </c>
      <c r="L827" s="130" t="s">
        <v>33</v>
      </c>
      <c r="M827" s="130" t="s">
        <v>34</v>
      </c>
      <c r="N827" s="130" t="s">
        <v>15</v>
      </c>
      <c r="O827" s="130" t="s">
        <v>11</v>
      </c>
    </row>
    <row r="828" spans="1:15" s="28" customFormat="1" x14ac:dyDescent="0.25">
      <c r="A828" s="86">
        <v>9</v>
      </c>
      <c r="B828" s="86">
        <v>9</v>
      </c>
      <c r="C828" s="86" t="s">
        <v>940</v>
      </c>
      <c r="D828" s="86">
        <v>5</v>
      </c>
      <c r="E828" s="86" t="s">
        <v>755</v>
      </c>
      <c r="F828" s="86">
        <v>1</v>
      </c>
      <c r="G828" s="86">
        <v>1</v>
      </c>
      <c r="H828" s="86">
        <v>0</v>
      </c>
      <c r="I828" s="87">
        <v>446279.49462890602</v>
      </c>
      <c r="J828" s="86" t="s">
        <v>627</v>
      </c>
      <c r="K828" s="86" t="s">
        <v>628</v>
      </c>
      <c r="L828" s="86" t="s">
        <v>46</v>
      </c>
      <c r="M828" s="86" t="s">
        <v>739</v>
      </c>
      <c r="N828" s="86" t="s">
        <v>726</v>
      </c>
      <c r="O828" s="86" t="s">
        <v>35</v>
      </c>
    </row>
    <row r="829" spans="1:15" s="264" customFormat="1" x14ac:dyDescent="0.25">
      <c r="A829" s="262">
        <v>9</v>
      </c>
      <c r="B829" s="262">
        <v>9</v>
      </c>
      <c r="C829" s="262" t="s">
        <v>940</v>
      </c>
      <c r="D829" s="262">
        <v>5</v>
      </c>
      <c r="E829" s="262" t="s">
        <v>755</v>
      </c>
      <c r="F829" s="262">
        <v>1</v>
      </c>
      <c r="G829" s="262">
        <v>1</v>
      </c>
      <c r="H829" s="262">
        <v>0</v>
      </c>
      <c r="I829" s="263">
        <v>4994.62451171875</v>
      </c>
      <c r="J829" s="262" t="s">
        <v>629</v>
      </c>
      <c r="K829" s="262" t="s">
        <v>630</v>
      </c>
      <c r="L829" s="262" t="s">
        <v>46</v>
      </c>
      <c r="M829" s="262" t="s">
        <v>739</v>
      </c>
      <c r="N829" s="262" t="s">
        <v>727</v>
      </c>
      <c r="O829" s="262" t="s">
        <v>11</v>
      </c>
    </row>
    <row r="830" spans="1:15" s="272" customFormat="1" x14ac:dyDescent="0.25">
      <c r="A830" s="270">
        <v>9</v>
      </c>
      <c r="B830" s="270">
        <v>9</v>
      </c>
      <c r="C830" s="270" t="s">
        <v>940</v>
      </c>
      <c r="D830" s="270">
        <v>5</v>
      </c>
      <c r="E830" s="270" t="s">
        <v>755</v>
      </c>
      <c r="F830" s="270">
        <v>1</v>
      </c>
      <c r="G830" s="270">
        <v>1</v>
      </c>
      <c r="H830" s="270">
        <v>0</v>
      </c>
      <c r="I830" s="271">
        <v>132715.990234375</v>
      </c>
      <c r="J830" s="270" t="s">
        <v>629</v>
      </c>
      <c r="K830" s="270" t="s">
        <v>630</v>
      </c>
      <c r="L830" s="270" t="s">
        <v>46</v>
      </c>
      <c r="M830" s="270" t="s">
        <v>739</v>
      </c>
      <c r="N830" s="270" t="s">
        <v>728</v>
      </c>
      <c r="O830" s="270" t="s">
        <v>11</v>
      </c>
    </row>
    <row r="831" spans="1:15" s="28" customFormat="1" x14ac:dyDescent="0.25">
      <c r="A831" s="86">
        <v>9</v>
      </c>
      <c r="B831" s="86">
        <v>9</v>
      </c>
      <c r="C831" s="86" t="s">
        <v>940</v>
      </c>
      <c r="D831" s="86">
        <v>5</v>
      </c>
      <c r="E831" s="86" t="s">
        <v>755</v>
      </c>
      <c r="F831" s="86">
        <v>1</v>
      </c>
      <c r="G831" s="86">
        <v>1</v>
      </c>
      <c r="H831" s="86">
        <v>0</v>
      </c>
      <c r="I831" s="87">
        <v>444478.26464843698</v>
      </c>
      <c r="J831" s="86" t="s">
        <v>639</v>
      </c>
      <c r="K831" s="86" t="s">
        <v>640</v>
      </c>
      <c r="L831" s="86" t="s">
        <v>27</v>
      </c>
      <c r="M831" s="86" t="s">
        <v>738</v>
      </c>
      <c r="N831" s="86" t="s">
        <v>726</v>
      </c>
      <c r="O831" s="86" t="s">
        <v>35</v>
      </c>
    </row>
    <row r="832" spans="1:15" s="272" customFormat="1" x14ac:dyDescent="0.25">
      <c r="A832" s="270">
        <v>9</v>
      </c>
      <c r="B832" s="270">
        <v>9</v>
      </c>
      <c r="C832" s="270" t="s">
        <v>940</v>
      </c>
      <c r="D832" s="270">
        <v>5</v>
      </c>
      <c r="E832" s="270" t="s">
        <v>755</v>
      </c>
      <c r="F832" s="270">
        <v>1</v>
      </c>
      <c r="G832" s="270">
        <v>1</v>
      </c>
      <c r="H832" s="270">
        <v>0</v>
      </c>
      <c r="I832" s="271">
        <v>179781.32666015599</v>
      </c>
      <c r="J832" s="270" t="s">
        <v>416</v>
      </c>
      <c r="K832" s="270" t="s">
        <v>417</v>
      </c>
      <c r="L832" s="270" t="s">
        <v>27</v>
      </c>
      <c r="M832" s="270" t="s">
        <v>738</v>
      </c>
      <c r="N832" s="270" t="s">
        <v>728</v>
      </c>
      <c r="O832" s="270" t="s">
        <v>11</v>
      </c>
    </row>
    <row r="833" spans="1:15" s="129" customFormat="1" x14ac:dyDescent="0.25">
      <c r="A833" s="130">
        <v>9</v>
      </c>
      <c r="B833" s="130">
        <v>9</v>
      </c>
      <c r="C833" s="130" t="s">
        <v>940</v>
      </c>
      <c r="D833" s="130">
        <v>5</v>
      </c>
      <c r="E833" s="130" t="s">
        <v>755</v>
      </c>
      <c r="F833" s="130">
        <v>1</v>
      </c>
      <c r="G833" s="130">
        <v>1</v>
      </c>
      <c r="H833" s="130">
        <v>0</v>
      </c>
      <c r="I833" s="131">
        <v>908806.53466796805</v>
      </c>
      <c r="J833" s="130" t="s">
        <v>523</v>
      </c>
      <c r="K833" s="130" t="s">
        <v>524</v>
      </c>
      <c r="L833" s="130" t="s">
        <v>46</v>
      </c>
      <c r="M833" s="130" t="s">
        <v>739</v>
      </c>
      <c r="N833" s="130" t="s">
        <v>15</v>
      </c>
      <c r="O833" s="130" t="s">
        <v>11</v>
      </c>
    </row>
    <row r="834" spans="1:15" s="272" customFormat="1" x14ac:dyDescent="0.25">
      <c r="A834" s="270">
        <v>9</v>
      </c>
      <c r="B834" s="270">
        <v>9</v>
      </c>
      <c r="C834" s="270" t="s">
        <v>940</v>
      </c>
      <c r="D834" s="270">
        <v>5</v>
      </c>
      <c r="E834" s="270" t="s">
        <v>755</v>
      </c>
      <c r="F834" s="270">
        <v>1</v>
      </c>
      <c r="G834" s="270">
        <v>1</v>
      </c>
      <c r="H834" s="270">
        <v>0</v>
      </c>
      <c r="I834" s="271">
        <v>53153.02734375</v>
      </c>
      <c r="J834" s="270" t="s">
        <v>659</v>
      </c>
      <c r="K834" s="270" t="s">
        <v>660</v>
      </c>
      <c r="L834" s="270" t="s">
        <v>80</v>
      </c>
      <c r="M834" s="270" t="s">
        <v>733</v>
      </c>
      <c r="N834" s="270" t="s">
        <v>728</v>
      </c>
      <c r="O834" s="270" t="s">
        <v>11</v>
      </c>
    </row>
    <row r="835" spans="1:15" s="28" customFormat="1" x14ac:dyDescent="0.25">
      <c r="A835" s="86">
        <v>9</v>
      </c>
      <c r="B835" s="86">
        <v>9</v>
      </c>
      <c r="C835" s="86" t="s">
        <v>940</v>
      </c>
      <c r="D835" s="86">
        <v>5</v>
      </c>
      <c r="E835" s="86" t="s">
        <v>755</v>
      </c>
      <c r="F835" s="86">
        <v>1</v>
      </c>
      <c r="G835" s="86">
        <v>1</v>
      </c>
      <c r="H835" s="86">
        <v>0</v>
      </c>
      <c r="I835" s="87">
        <v>338001.48583984299</v>
      </c>
      <c r="J835" s="86" t="s">
        <v>665</v>
      </c>
      <c r="K835" s="86" t="s">
        <v>666</v>
      </c>
      <c r="L835" s="86" t="s">
        <v>27</v>
      </c>
      <c r="M835" s="86" t="s">
        <v>738</v>
      </c>
      <c r="N835" s="86" t="s">
        <v>726</v>
      </c>
      <c r="O835" s="86" t="s">
        <v>35</v>
      </c>
    </row>
    <row r="836" spans="1:15" s="272" customFormat="1" x14ac:dyDescent="0.25">
      <c r="A836" s="270">
        <v>9</v>
      </c>
      <c r="B836" s="270">
        <v>9</v>
      </c>
      <c r="C836" s="270" t="s">
        <v>940</v>
      </c>
      <c r="D836" s="270">
        <v>5</v>
      </c>
      <c r="E836" s="270" t="s">
        <v>755</v>
      </c>
      <c r="F836" s="270">
        <v>1</v>
      </c>
      <c r="G836" s="270">
        <v>1</v>
      </c>
      <c r="H836" s="270">
        <v>0</v>
      </c>
      <c r="I836" s="271">
        <v>30530.529296875</v>
      </c>
      <c r="J836" s="270" t="s">
        <v>507</v>
      </c>
      <c r="K836" s="270" t="s">
        <v>508</v>
      </c>
      <c r="L836" s="270" t="s">
        <v>80</v>
      </c>
      <c r="M836" s="270" t="s">
        <v>733</v>
      </c>
      <c r="N836" s="270" t="s">
        <v>728</v>
      </c>
      <c r="O836" s="270" t="s">
        <v>11</v>
      </c>
    </row>
    <row r="837" spans="1:15" s="272" customFormat="1" x14ac:dyDescent="0.25">
      <c r="A837" s="270">
        <v>9</v>
      </c>
      <c r="B837" s="270">
        <v>9</v>
      </c>
      <c r="C837" s="270" t="s">
        <v>940</v>
      </c>
      <c r="D837" s="270">
        <v>5</v>
      </c>
      <c r="E837" s="270" t="s">
        <v>755</v>
      </c>
      <c r="F837" s="270">
        <v>1</v>
      </c>
      <c r="G837" s="270">
        <v>1</v>
      </c>
      <c r="H837" s="270">
        <v>0</v>
      </c>
      <c r="I837" s="271">
        <v>375889.806640625</v>
      </c>
      <c r="J837" s="270" t="s">
        <v>247</v>
      </c>
      <c r="K837" s="270" t="s">
        <v>248</v>
      </c>
      <c r="L837" s="270" t="s">
        <v>46</v>
      </c>
      <c r="M837" s="270" t="s">
        <v>739</v>
      </c>
      <c r="N837" s="270" t="s">
        <v>728</v>
      </c>
      <c r="O837" s="270" t="s">
        <v>11</v>
      </c>
    </row>
    <row r="838" spans="1:15" s="272" customFormat="1" x14ac:dyDescent="0.25">
      <c r="A838" s="270">
        <v>9</v>
      </c>
      <c r="B838" s="270">
        <v>9</v>
      </c>
      <c r="C838" s="270" t="s">
        <v>940</v>
      </c>
      <c r="D838" s="270">
        <v>5</v>
      </c>
      <c r="E838" s="270" t="s">
        <v>755</v>
      </c>
      <c r="F838" s="270">
        <v>1</v>
      </c>
      <c r="G838" s="270">
        <v>1</v>
      </c>
      <c r="H838" s="270">
        <v>0</v>
      </c>
      <c r="I838" s="271">
        <v>447189.92041015602</v>
      </c>
      <c r="J838" s="270" t="s">
        <v>243</v>
      </c>
      <c r="K838" s="270" t="s">
        <v>244</v>
      </c>
      <c r="L838" s="270" t="s">
        <v>46</v>
      </c>
      <c r="M838" s="270" t="s">
        <v>739</v>
      </c>
      <c r="N838" s="270" t="s">
        <v>728</v>
      </c>
      <c r="O838" s="270" t="s">
        <v>11</v>
      </c>
    </row>
    <row r="839" spans="1:15" s="28" customFormat="1" x14ac:dyDescent="0.25">
      <c r="A839" s="86">
        <v>9</v>
      </c>
      <c r="B839" s="86">
        <v>9</v>
      </c>
      <c r="C839" s="86" t="s">
        <v>940</v>
      </c>
      <c r="D839" s="86">
        <v>5</v>
      </c>
      <c r="E839" s="86" t="s">
        <v>755</v>
      </c>
      <c r="F839" s="86">
        <v>1</v>
      </c>
      <c r="G839" s="86">
        <v>1</v>
      </c>
      <c r="H839" s="86">
        <v>0</v>
      </c>
      <c r="I839" s="87">
        <v>498422.17431640602</v>
      </c>
      <c r="J839" s="86" t="s">
        <v>667</v>
      </c>
      <c r="K839" s="86" t="s">
        <v>668</v>
      </c>
      <c r="L839" s="86" t="s">
        <v>46</v>
      </c>
      <c r="M839" s="86" t="s">
        <v>739</v>
      </c>
      <c r="N839" s="86" t="s">
        <v>726</v>
      </c>
      <c r="O839" s="86" t="s">
        <v>35</v>
      </c>
    </row>
    <row r="840" spans="1:15" s="272" customFormat="1" x14ac:dyDescent="0.25">
      <c r="A840" s="270">
        <v>9</v>
      </c>
      <c r="B840" s="270">
        <v>9</v>
      </c>
      <c r="C840" s="270" t="s">
        <v>940</v>
      </c>
      <c r="D840" s="270">
        <v>5</v>
      </c>
      <c r="E840" s="270" t="s">
        <v>755</v>
      </c>
      <c r="F840" s="270">
        <v>1</v>
      </c>
      <c r="G840" s="270">
        <v>1</v>
      </c>
      <c r="H840" s="270">
        <v>0</v>
      </c>
      <c r="I840" s="271">
        <v>105624.72949218701</v>
      </c>
      <c r="J840" s="270" t="s">
        <v>297</v>
      </c>
      <c r="K840" s="270" t="s">
        <v>298</v>
      </c>
      <c r="L840" s="270" t="s">
        <v>46</v>
      </c>
      <c r="M840" s="270" t="s">
        <v>739</v>
      </c>
      <c r="N840" s="270" t="s">
        <v>728</v>
      </c>
      <c r="O840" s="270" t="s">
        <v>11</v>
      </c>
    </row>
    <row r="841" spans="1:15" s="264" customFormat="1" x14ac:dyDescent="0.25">
      <c r="A841" s="262">
        <v>9</v>
      </c>
      <c r="B841" s="262">
        <v>9</v>
      </c>
      <c r="C841" s="262" t="s">
        <v>940</v>
      </c>
      <c r="D841" s="262">
        <v>5</v>
      </c>
      <c r="E841" s="262" t="s">
        <v>755</v>
      </c>
      <c r="F841" s="262">
        <v>1</v>
      </c>
      <c r="G841" s="262">
        <v>1</v>
      </c>
      <c r="H841" s="262">
        <v>0</v>
      </c>
      <c r="I841" s="263">
        <v>38936.638671875</v>
      </c>
      <c r="J841" s="262" t="s">
        <v>247</v>
      </c>
      <c r="K841" s="262" t="s">
        <v>248</v>
      </c>
      <c r="L841" s="262" t="s">
        <v>46</v>
      </c>
      <c r="M841" s="262" t="s">
        <v>739</v>
      </c>
      <c r="N841" s="262" t="s">
        <v>727</v>
      </c>
      <c r="O841" s="262" t="s">
        <v>11</v>
      </c>
    </row>
    <row r="842" spans="1:15" s="28" customFormat="1" x14ac:dyDescent="0.25">
      <c r="A842" s="86">
        <v>9</v>
      </c>
      <c r="B842" s="86">
        <v>9</v>
      </c>
      <c r="C842" s="86" t="s">
        <v>940</v>
      </c>
      <c r="D842" s="86">
        <v>5</v>
      </c>
      <c r="E842" s="86" t="s">
        <v>755</v>
      </c>
      <c r="F842" s="86">
        <v>1</v>
      </c>
      <c r="G842" s="86">
        <v>1</v>
      </c>
      <c r="H842" s="86">
        <v>0</v>
      </c>
      <c r="I842" s="87">
        <v>32615.7744140625</v>
      </c>
      <c r="J842" s="86" t="s">
        <v>464</v>
      </c>
      <c r="K842" s="86" t="s">
        <v>465</v>
      </c>
      <c r="L842" s="86" t="s">
        <v>27</v>
      </c>
      <c r="M842" s="86" t="s">
        <v>738</v>
      </c>
      <c r="N842" s="86" t="s">
        <v>726</v>
      </c>
      <c r="O842" s="86" t="s">
        <v>105</v>
      </c>
    </row>
    <row r="843" spans="1:15" s="28" customFormat="1" x14ac:dyDescent="0.25">
      <c r="A843" s="86">
        <v>9</v>
      </c>
      <c r="B843" s="86">
        <v>9</v>
      </c>
      <c r="C843" s="86" t="s">
        <v>940</v>
      </c>
      <c r="D843" s="86">
        <v>5</v>
      </c>
      <c r="E843" s="86" t="s">
        <v>755</v>
      </c>
      <c r="F843" s="86">
        <v>1</v>
      </c>
      <c r="G843" s="86">
        <v>1</v>
      </c>
      <c r="H843" s="86">
        <v>0</v>
      </c>
      <c r="I843" s="87">
        <v>1229067.8471679599</v>
      </c>
      <c r="J843" s="86" t="s">
        <v>671</v>
      </c>
      <c r="K843" s="86" t="s">
        <v>672</v>
      </c>
      <c r="L843" s="86" t="s">
        <v>27</v>
      </c>
      <c r="M843" s="86" t="s">
        <v>738</v>
      </c>
      <c r="N843" s="86" t="s">
        <v>726</v>
      </c>
      <c r="O843" s="86" t="s">
        <v>35</v>
      </c>
    </row>
    <row r="844" spans="1:15" s="264" customFormat="1" x14ac:dyDescent="0.25">
      <c r="A844" s="262">
        <v>9</v>
      </c>
      <c r="B844" s="262">
        <v>9</v>
      </c>
      <c r="C844" s="262" t="s">
        <v>940</v>
      </c>
      <c r="D844" s="262">
        <v>5</v>
      </c>
      <c r="E844" s="262" t="s">
        <v>755</v>
      </c>
      <c r="F844" s="262">
        <v>1</v>
      </c>
      <c r="G844" s="262">
        <v>1</v>
      </c>
      <c r="H844" s="262">
        <v>0</v>
      </c>
      <c r="I844" s="263">
        <v>6900.49169921875</v>
      </c>
      <c r="J844" s="262" t="s">
        <v>147</v>
      </c>
      <c r="K844" s="262" t="s">
        <v>148</v>
      </c>
      <c r="L844" s="262" t="s">
        <v>27</v>
      </c>
      <c r="M844" s="262" t="s">
        <v>738</v>
      </c>
      <c r="N844" s="262" t="s">
        <v>727</v>
      </c>
      <c r="O844" s="262" t="s">
        <v>11</v>
      </c>
    </row>
    <row r="845" spans="1:15" s="28" customFormat="1" x14ac:dyDescent="0.25">
      <c r="A845" s="86">
        <v>9</v>
      </c>
      <c r="B845" s="86">
        <v>9</v>
      </c>
      <c r="C845" s="86" t="s">
        <v>940</v>
      </c>
      <c r="D845" s="86">
        <v>5</v>
      </c>
      <c r="E845" s="86" t="s">
        <v>755</v>
      </c>
      <c r="F845" s="86">
        <v>1</v>
      </c>
      <c r="G845" s="86">
        <v>1</v>
      </c>
      <c r="H845" s="86">
        <v>0</v>
      </c>
      <c r="I845" s="87">
        <v>89000.313964843706</v>
      </c>
      <c r="J845" s="86" t="s">
        <v>675</v>
      </c>
      <c r="K845" s="86" t="s">
        <v>676</v>
      </c>
      <c r="L845" s="86" t="s">
        <v>27</v>
      </c>
      <c r="M845" s="86" t="s">
        <v>738</v>
      </c>
      <c r="N845" s="86" t="s">
        <v>726</v>
      </c>
      <c r="O845" s="86" t="s">
        <v>35</v>
      </c>
    </row>
    <row r="846" spans="1:15" s="28" customFormat="1" x14ac:dyDescent="0.25">
      <c r="A846" s="86">
        <v>9</v>
      </c>
      <c r="B846" s="86">
        <v>9</v>
      </c>
      <c r="C846" s="86" t="s">
        <v>940</v>
      </c>
      <c r="D846" s="86">
        <v>5</v>
      </c>
      <c r="E846" s="86" t="s">
        <v>755</v>
      </c>
      <c r="F846" s="86">
        <v>1</v>
      </c>
      <c r="G846" s="86">
        <v>1</v>
      </c>
      <c r="H846" s="86">
        <v>0</v>
      </c>
      <c r="I846" s="87">
        <v>219320.41357421799</v>
      </c>
      <c r="J846" s="86" t="s">
        <v>677</v>
      </c>
      <c r="K846" s="86" t="s">
        <v>678</v>
      </c>
      <c r="L846" s="86" t="s">
        <v>27</v>
      </c>
      <c r="M846" s="86" t="s">
        <v>738</v>
      </c>
      <c r="N846" s="86" t="s">
        <v>726</v>
      </c>
      <c r="O846" s="86" t="s">
        <v>35</v>
      </c>
    </row>
    <row r="847" spans="1:15" s="129" customFormat="1" x14ac:dyDescent="0.25">
      <c r="A847" s="130">
        <v>9</v>
      </c>
      <c r="B847" s="130">
        <v>9</v>
      </c>
      <c r="C847" s="130" t="s">
        <v>940</v>
      </c>
      <c r="D847" s="130">
        <v>5</v>
      </c>
      <c r="E847" s="130" t="s">
        <v>755</v>
      </c>
      <c r="F847" s="130">
        <v>1</v>
      </c>
      <c r="G847" s="130">
        <v>1</v>
      </c>
      <c r="H847" s="130">
        <v>0</v>
      </c>
      <c r="I847" s="131">
        <v>103878.66699218701</v>
      </c>
      <c r="J847" s="130" t="s">
        <v>659</v>
      </c>
      <c r="K847" s="130" t="s">
        <v>660</v>
      </c>
      <c r="L847" s="130" t="s">
        <v>80</v>
      </c>
      <c r="M847" s="130" t="s">
        <v>733</v>
      </c>
      <c r="N847" s="130" t="s">
        <v>15</v>
      </c>
      <c r="O847" s="130" t="s">
        <v>11</v>
      </c>
    </row>
    <row r="848" spans="1:15" s="28" customFormat="1" x14ac:dyDescent="0.25">
      <c r="A848" s="86">
        <v>9</v>
      </c>
      <c r="B848" s="86">
        <v>9</v>
      </c>
      <c r="C848" s="86" t="s">
        <v>940</v>
      </c>
      <c r="D848" s="86">
        <v>5</v>
      </c>
      <c r="E848" s="86" t="s">
        <v>755</v>
      </c>
      <c r="F848" s="86">
        <v>1</v>
      </c>
      <c r="G848" s="86">
        <v>1</v>
      </c>
      <c r="H848" s="86">
        <v>0</v>
      </c>
      <c r="I848" s="87">
        <v>130668.39404296799</v>
      </c>
      <c r="J848" s="86" t="s">
        <v>684</v>
      </c>
      <c r="K848" s="86" t="s">
        <v>685</v>
      </c>
      <c r="L848" s="86" t="s">
        <v>27</v>
      </c>
      <c r="M848" s="86" t="s">
        <v>738</v>
      </c>
      <c r="N848" s="86" t="s">
        <v>726</v>
      </c>
      <c r="O848" s="86" t="s">
        <v>35</v>
      </c>
    </row>
    <row r="849" spans="1:15" s="264" customFormat="1" x14ac:dyDescent="0.25">
      <c r="A849" s="262">
        <v>9</v>
      </c>
      <c r="B849" s="262">
        <v>9</v>
      </c>
      <c r="C849" s="262" t="s">
        <v>940</v>
      </c>
      <c r="D849" s="262">
        <v>5</v>
      </c>
      <c r="E849" s="262" t="s">
        <v>755</v>
      </c>
      <c r="F849" s="262">
        <v>1</v>
      </c>
      <c r="G849" s="262">
        <v>1</v>
      </c>
      <c r="H849" s="262">
        <v>0</v>
      </c>
      <c r="I849" s="263">
        <v>2272.09912109375</v>
      </c>
      <c r="J849" s="262" t="s">
        <v>277</v>
      </c>
      <c r="K849" s="262" t="s">
        <v>278</v>
      </c>
      <c r="L849" s="262" t="s">
        <v>46</v>
      </c>
      <c r="M849" s="262" t="s">
        <v>739</v>
      </c>
      <c r="N849" s="262" t="s">
        <v>727</v>
      </c>
      <c r="O849" s="262" t="s">
        <v>11</v>
      </c>
    </row>
    <row r="850" spans="1:15" s="129" customFormat="1" x14ac:dyDescent="0.25">
      <c r="A850" s="130">
        <v>9</v>
      </c>
      <c r="B850" s="130">
        <v>9</v>
      </c>
      <c r="C850" s="130" t="s">
        <v>940</v>
      </c>
      <c r="D850" s="130">
        <v>5</v>
      </c>
      <c r="E850" s="130" t="s">
        <v>755</v>
      </c>
      <c r="F850" s="130">
        <v>1</v>
      </c>
      <c r="G850" s="130">
        <v>1</v>
      </c>
      <c r="H850" s="130">
        <v>0</v>
      </c>
      <c r="I850" s="131">
        <v>501460.07128906198</v>
      </c>
      <c r="J850" s="130" t="s">
        <v>91</v>
      </c>
      <c r="K850" s="130" t="s">
        <v>92</v>
      </c>
      <c r="L850" s="130" t="s">
        <v>27</v>
      </c>
      <c r="M850" s="130" t="s">
        <v>738</v>
      </c>
      <c r="N850" s="130" t="s">
        <v>15</v>
      </c>
      <c r="O850" s="130" t="s">
        <v>11</v>
      </c>
    </row>
    <row r="851" spans="1:15" s="272" customFormat="1" x14ac:dyDescent="0.25">
      <c r="A851" s="270">
        <v>9</v>
      </c>
      <c r="B851" s="270">
        <v>9</v>
      </c>
      <c r="C851" s="270" t="s">
        <v>940</v>
      </c>
      <c r="D851" s="270">
        <v>5</v>
      </c>
      <c r="E851" s="270" t="s">
        <v>755</v>
      </c>
      <c r="F851" s="270">
        <v>1</v>
      </c>
      <c r="G851" s="270">
        <v>1</v>
      </c>
      <c r="H851" s="270">
        <v>0</v>
      </c>
      <c r="I851" s="271">
        <v>366550.13574218698</v>
      </c>
      <c r="J851" s="270" t="s">
        <v>603</v>
      </c>
      <c r="K851" s="270" t="s">
        <v>604</v>
      </c>
      <c r="L851" s="270" t="s">
        <v>46</v>
      </c>
      <c r="M851" s="270" t="s">
        <v>739</v>
      </c>
      <c r="N851" s="270" t="s">
        <v>728</v>
      </c>
      <c r="O851" s="270" t="s">
        <v>11</v>
      </c>
    </row>
    <row r="852" spans="1:15" s="264" customFormat="1" x14ac:dyDescent="0.25">
      <c r="A852" s="262">
        <v>9</v>
      </c>
      <c r="B852" s="262">
        <v>9</v>
      </c>
      <c r="C852" s="262" t="s">
        <v>940</v>
      </c>
      <c r="D852" s="262">
        <v>5</v>
      </c>
      <c r="E852" s="262" t="s">
        <v>755</v>
      </c>
      <c r="F852" s="262">
        <v>1</v>
      </c>
      <c r="G852" s="262">
        <v>1</v>
      </c>
      <c r="H852" s="262">
        <v>0</v>
      </c>
      <c r="I852" s="263">
        <v>841.19189453125</v>
      </c>
      <c r="J852" s="262" t="s">
        <v>494</v>
      </c>
      <c r="K852" s="262" t="s">
        <v>495</v>
      </c>
      <c r="L852" s="262" t="s">
        <v>46</v>
      </c>
      <c r="M852" s="262" t="s">
        <v>739</v>
      </c>
      <c r="N852" s="262" t="s">
        <v>727</v>
      </c>
      <c r="O852" s="262" t="s">
        <v>11</v>
      </c>
    </row>
    <row r="853" spans="1:15" s="129" customFormat="1" x14ac:dyDescent="0.25">
      <c r="A853" s="130">
        <v>9</v>
      </c>
      <c r="B853" s="130">
        <v>9</v>
      </c>
      <c r="C853" s="130" t="s">
        <v>940</v>
      </c>
      <c r="D853" s="130">
        <v>5</v>
      </c>
      <c r="E853" s="130" t="s">
        <v>755</v>
      </c>
      <c r="F853" s="130">
        <v>1</v>
      </c>
      <c r="G853" s="130">
        <v>1</v>
      </c>
      <c r="H853" s="130">
        <v>0</v>
      </c>
      <c r="I853" s="131">
        <v>3489388.9853515602</v>
      </c>
      <c r="J853" s="130" t="s">
        <v>381</v>
      </c>
      <c r="K853" s="130" t="s">
        <v>382</v>
      </c>
      <c r="L853" s="130" t="s">
        <v>27</v>
      </c>
      <c r="M853" s="130" t="s">
        <v>738</v>
      </c>
      <c r="N853" s="130" t="s">
        <v>15</v>
      </c>
      <c r="O853" s="130" t="s">
        <v>11</v>
      </c>
    </row>
    <row r="854" spans="1:15" s="28" customFormat="1" x14ac:dyDescent="0.25">
      <c r="A854" s="86">
        <v>9</v>
      </c>
      <c r="B854" s="86">
        <v>9</v>
      </c>
      <c r="C854" s="86" t="s">
        <v>940</v>
      </c>
      <c r="D854" s="86">
        <v>5</v>
      </c>
      <c r="E854" s="86" t="s">
        <v>755</v>
      </c>
      <c r="F854" s="86">
        <v>1</v>
      </c>
      <c r="G854" s="86">
        <v>1</v>
      </c>
      <c r="H854" s="86">
        <v>0</v>
      </c>
      <c r="I854" s="87">
        <v>72291.640625</v>
      </c>
      <c r="J854" s="86" t="s">
        <v>700</v>
      </c>
      <c r="K854" s="86" t="s">
        <v>701</v>
      </c>
      <c r="L854" s="86" t="s">
        <v>27</v>
      </c>
      <c r="M854" s="86" t="s">
        <v>738</v>
      </c>
      <c r="N854" s="86" t="s">
        <v>726</v>
      </c>
      <c r="O854" s="86" t="s">
        <v>35</v>
      </c>
    </row>
    <row r="855" spans="1:15" s="28" customFormat="1" x14ac:dyDescent="0.25">
      <c r="A855" s="86">
        <v>9</v>
      </c>
      <c r="B855" s="86">
        <v>9</v>
      </c>
      <c r="C855" s="86" t="s">
        <v>940</v>
      </c>
      <c r="D855" s="86">
        <v>5</v>
      </c>
      <c r="E855" s="86" t="s">
        <v>755</v>
      </c>
      <c r="F855" s="86">
        <v>1</v>
      </c>
      <c r="G855" s="86">
        <v>1</v>
      </c>
      <c r="H855" s="86">
        <v>0</v>
      </c>
      <c r="I855" s="87">
        <v>434872.43017578102</v>
      </c>
      <c r="J855" s="86" t="s">
        <v>704</v>
      </c>
      <c r="K855" s="86" t="s">
        <v>705</v>
      </c>
      <c r="L855" s="86" t="s">
        <v>27</v>
      </c>
      <c r="M855" s="86" t="s">
        <v>738</v>
      </c>
      <c r="N855" s="86" t="s">
        <v>726</v>
      </c>
      <c r="O855" s="86" t="s">
        <v>35</v>
      </c>
    </row>
    <row r="856" spans="1:15" s="28" customFormat="1" x14ac:dyDescent="0.25">
      <c r="A856" s="86">
        <v>9</v>
      </c>
      <c r="B856" s="86">
        <v>9</v>
      </c>
      <c r="C856" s="86" t="s">
        <v>940</v>
      </c>
      <c r="D856" s="86">
        <v>5</v>
      </c>
      <c r="E856" s="86" t="s">
        <v>755</v>
      </c>
      <c r="F856" s="86">
        <v>1</v>
      </c>
      <c r="G856" s="86">
        <v>1</v>
      </c>
      <c r="H856" s="86">
        <v>0</v>
      </c>
      <c r="I856" s="87">
        <v>93731.0927734375</v>
      </c>
      <c r="J856" s="86" t="s">
        <v>65</v>
      </c>
      <c r="K856" s="86" t="s">
        <v>66</v>
      </c>
      <c r="L856" s="86" t="s">
        <v>27</v>
      </c>
      <c r="M856" s="86" t="s">
        <v>738</v>
      </c>
      <c r="N856" s="86" t="s">
        <v>726</v>
      </c>
      <c r="O856" s="86" t="s">
        <v>105</v>
      </c>
    </row>
    <row r="857" spans="1:15" s="28" customFormat="1" x14ac:dyDescent="0.25">
      <c r="A857" s="86">
        <v>9</v>
      </c>
      <c r="B857" s="86">
        <v>9</v>
      </c>
      <c r="C857" s="86" t="s">
        <v>940</v>
      </c>
      <c r="D857" s="86">
        <v>5</v>
      </c>
      <c r="E857" s="86" t="s">
        <v>755</v>
      </c>
      <c r="F857" s="86">
        <v>1</v>
      </c>
      <c r="G857" s="86">
        <v>1</v>
      </c>
      <c r="H857" s="86">
        <v>0</v>
      </c>
      <c r="I857" s="87">
        <v>476934.11816406198</v>
      </c>
      <c r="J857" s="86" t="s">
        <v>708</v>
      </c>
      <c r="K857" s="86" t="s">
        <v>709</v>
      </c>
      <c r="L857" s="86" t="s">
        <v>46</v>
      </c>
      <c r="M857" s="86" t="s">
        <v>739</v>
      </c>
      <c r="N857" s="86" t="s">
        <v>726</v>
      </c>
      <c r="O857" s="86" t="s">
        <v>35</v>
      </c>
    </row>
    <row r="858" spans="1:15" s="272" customFormat="1" x14ac:dyDescent="0.25">
      <c r="A858" s="270">
        <v>9</v>
      </c>
      <c r="B858" s="270">
        <v>9</v>
      </c>
      <c r="C858" s="270" t="s">
        <v>940</v>
      </c>
      <c r="D858" s="270">
        <v>5</v>
      </c>
      <c r="E858" s="270" t="s">
        <v>755</v>
      </c>
      <c r="F858" s="270">
        <v>1</v>
      </c>
      <c r="G858" s="270">
        <v>1</v>
      </c>
      <c r="H858" s="270">
        <v>0</v>
      </c>
      <c r="I858" s="271">
        <v>1403272.90527343</v>
      </c>
      <c r="J858" s="270" t="s">
        <v>511</v>
      </c>
      <c r="K858" s="270" t="s">
        <v>512</v>
      </c>
      <c r="L858" s="270" t="s">
        <v>27</v>
      </c>
      <c r="M858" s="270" t="s">
        <v>738</v>
      </c>
      <c r="N858" s="270" t="s">
        <v>728</v>
      </c>
      <c r="O858" s="270" t="s">
        <v>11</v>
      </c>
    </row>
    <row r="859" spans="1:15" s="272" customFormat="1" x14ac:dyDescent="0.25">
      <c r="A859" s="270">
        <v>9</v>
      </c>
      <c r="B859" s="270">
        <v>9</v>
      </c>
      <c r="C859" s="270" t="s">
        <v>940</v>
      </c>
      <c r="D859" s="270">
        <v>5</v>
      </c>
      <c r="E859" s="270" t="s">
        <v>755</v>
      </c>
      <c r="F859" s="270">
        <v>1</v>
      </c>
      <c r="G859" s="270">
        <v>1</v>
      </c>
      <c r="H859" s="270">
        <v>0</v>
      </c>
      <c r="I859" s="271">
        <v>138508.74169921799</v>
      </c>
      <c r="J859" s="270" t="s">
        <v>523</v>
      </c>
      <c r="K859" s="270" t="s">
        <v>524</v>
      </c>
      <c r="L859" s="270" t="s">
        <v>46</v>
      </c>
      <c r="M859" s="270" t="s">
        <v>739</v>
      </c>
      <c r="N859" s="270" t="s">
        <v>728</v>
      </c>
      <c r="O859" s="270" t="s">
        <v>11</v>
      </c>
    </row>
    <row r="860" spans="1:15" s="129" customFormat="1" x14ac:dyDescent="0.25">
      <c r="A860" s="130">
        <v>9</v>
      </c>
      <c r="B860" s="130">
        <v>9</v>
      </c>
      <c r="C860" s="130" t="s">
        <v>940</v>
      </c>
      <c r="D860" s="130">
        <v>5</v>
      </c>
      <c r="E860" s="130" t="s">
        <v>755</v>
      </c>
      <c r="F860" s="130">
        <v>1</v>
      </c>
      <c r="G860" s="130">
        <v>1</v>
      </c>
      <c r="H860" s="130">
        <v>0</v>
      </c>
      <c r="I860" s="131">
        <v>948704.93701171805</v>
      </c>
      <c r="J860" s="130" t="s">
        <v>629</v>
      </c>
      <c r="K860" s="130" t="s">
        <v>630</v>
      </c>
      <c r="L860" s="130" t="s">
        <v>46</v>
      </c>
      <c r="M860" s="130" t="s">
        <v>739</v>
      </c>
      <c r="N860" s="130" t="s">
        <v>15</v>
      </c>
      <c r="O860" s="130" t="s">
        <v>11</v>
      </c>
    </row>
    <row r="861" spans="1:15" s="129" customFormat="1" x14ac:dyDescent="0.25">
      <c r="A861" s="130">
        <v>9</v>
      </c>
      <c r="B861" s="130">
        <v>9</v>
      </c>
      <c r="C861" s="130" t="s">
        <v>940</v>
      </c>
      <c r="D861" s="130">
        <v>5</v>
      </c>
      <c r="E861" s="130" t="s">
        <v>755</v>
      </c>
      <c r="F861" s="130">
        <v>1</v>
      </c>
      <c r="G861" s="130">
        <v>1</v>
      </c>
      <c r="H861" s="130">
        <v>0</v>
      </c>
      <c r="I861" s="131">
        <v>243927.58251953099</v>
      </c>
      <c r="J861" s="130" t="s">
        <v>297</v>
      </c>
      <c r="K861" s="130" t="s">
        <v>298</v>
      </c>
      <c r="L861" s="130" t="s">
        <v>46</v>
      </c>
      <c r="M861" s="130" t="s">
        <v>739</v>
      </c>
      <c r="N861" s="130" t="s">
        <v>15</v>
      </c>
      <c r="O861" s="130" t="s">
        <v>11</v>
      </c>
    </row>
    <row r="862" spans="1:15" s="28" customFormat="1" x14ac:dyDescent="0.25">
      <c r="A862" s="86">
        <v>9</v>
      </c>
      <c r="B862" s="86">
        <v>9</v>
      </c>
      <c r="C862" s="86" t="s">
        <v>940</v>
      </c>
      <c r="D862" s="86">
        <v>5</v>
      </c>
      <c r="E862" s="86" t="s">
        <v>755</v>
      </c>
      <c r="F862" s="86">
        <v>1</v>
      </c>
      <c r="G862" s="86">
        <v>1</v>
      </c>
      <c r="H862" s="86">
        <v>0</v>
      </c>
      <c r="I862" s="87">
        <v>207331.55761718701</v>
      </c>
      <c r="J862" s="86" t="s">
        <v>283</v>
      </c>
      <c r="K862" s="86" t="s">
        <v>284</v>
      </c>
      <c r="L862" s="86" t="s">
        <v>27</v>
      </c>
      <c r="M862" s="86" t="s">
        <v>738</v>
      </c>
      <c r="N862" s="86" t="s">
        <v>726</v>
      </c>
      <c r="O862" s="86" t="s">
        <v>105</v>
      </c>
    </row>
    <row r="863" spans="1:15" s="28" customFormat="1" x14ac:dyDescent="0.25">
      <c r="A863" s="86">
        <v>9</v>
      </c>
      <c r="B863" s="86">
        <v>9</v>
      </c>
      <c r="C863" s="86" t="s">
        <v>940</v>
      </c>
      <c r="D863" s="86">
        <v>5</v>
      </c>
      <c r="E863" s="86" t="s">
        <v>755</v>
      </c>
      <c r="F863" s="86">
        <v>1</v>
      </c>
      <c r="G863" s="86">
        <v>1</v>
      </c>
      <c r="H863" s="86">
        <v>0</v>
      </c>
      <c r="I863" s="87">
        <v>17269.728515625</v>
      </c>
      <c r="J863" s="86" t="s">
        <v>684</v>
      </c>
      <c r="K863" s="86" t="s">
        <v>685</v>
      </c>
      <c r="L863" s="86" t="s">
        <v>27</v>
      </c>
      <c r="M863" s="86" t="s">
        <v>738</v>
      </c>
      <c r="N863" s="86" t="s">
        <v>726</v>
      </c>
      <c r="O863" s="86" t="s">
        <v>105</v>
      </c>
    </row>
    <row r="864" spans="1:15" s="28" customFormat="1" x14ac:dyDescent="0.25">
      <c r="A864" s="86">
        <v>9</v>
      </c>
      <c r="B864" s="86">
        <v>9</v>
      </c>
      <c r="C864" s="86" t="s">
        <v>940</v>
      </c>
      <c r="D864" s="86">
        <v>5</v>
      </c>
      <c r="E864" s="86" t="s">
        <v>755</v>
      </c>
      <c r="F864" s="86">
        <v>1</v>
      </c>
      <c r="G864" s="86">
        <v>1</v>
      </c>
      <c r="H864" s="86">
        <v>0</v>
      </c>
      <c r="I864" s="87">
        <v>849623.80175781203</v>
      </c>
      <c r="J864" s="86" t="s">
        <v>720</v>
      </c>
      <c r="K864" s="86" t="s">
        <v>721</v>
      </c>
      <c r="L864" s="86" t="s">
        <v>30</v>
      </c>
      <c r="M864" s="86" t="s">
        <v>732</v>
      </c>
      <c r="N864" s="86" t="s">
        <v>726</v>
      </c>
      <c r="O864" s="86" t="s">
        <v>35</v>
      </c>
    </row>
    <row r="865" spans="1:15" s="28" customFormat="1" x14ac:dyDescent="0.25">
      <c r="A865" s="86">
        <v>9</v>
      </c>
      <c r="B865" s="86">
        <v>9</v>
      </c>
      <c r="C865" s="86" t="s">
        <v>940</v>
      </c>
      <c r="D865" s="86">
        <v>5</v>
      </c>
      <c r="E865" s="86" t="s">
        <v>755</v>
      </c>
      <c r="F865" s="86">
        <v>1</v>
      </c>
      <c r="G865" s="86">
        <v>1</v>
      </c>
      <c r="H865" s="86">
        <v>0</v>
      </c>
      <c r="I865" s="87">
        <v>3759515.94921875</v>
      </c>
      <c r="J865" s="86" t="s">
        <v>103</v>
      </c>
      <c r="K865" s="86" t="s">
        <v>104</v>
      </c>
      <c r="L865" s="86" t="s">
        <v>27</v>
      </c>
      <c r="M865" s="86" t="s">
        <v>738</v>
      </c>
      <c r="N865" s="86" t="s">
        <v>726</v>
      </c>
      <c r="O865" s="86" t="s">
        <v>35</v>
      </c>
    </row>
    <row r="866" spans="1:15" s="264" customFormat="1" x14ac:dyDescent="0.25">
      <c r="A866" s="262">
        <v>9</v>
      </c>
      <c r="B866" s="262">
        <v>9</v>
      </c>
      <c r="C866" s="262" t="s">
        <v>940</v>
      </c>
      <c r="D866" s="262">
        <v>5</v>
      </c>
      <c r="E866" s="262" t="s">
        <v>755</v>
      </c>
      <c r="F866" s="262">
        <v>1</v>
      </c>
      <c r="G866" s="262">
        <v>1</v>
      </c>
      <c r="H866" s="262">
        <v>0</v>
      </c>
      <c r="I866" s="263">
        <v>7914.27392578125</v>
      </c>
      <c r="J866" s="262" t="s">
        <v>25</v>
      </c>
      <c r="K866" s="262" t="s">
        <v>26</v>
      </c>
      <c r="L866" s="262" t="s">
        <v>27</v>
      </c>
      <c r="M866" s="262" t="s">
        <v>738</v>
      </c>
      <c r="N866" s="262" t="s">
        <v>727</v>
      </c>
      <c r="O866" s="262" t="s">
        <v>11</v>
      </c>
    </row>
    <row r="867" spans="1:15" s="264" customFormat="1" x14ac:dyDescent="0.25">
      <c r="A867" s="262">
        <v>9</v>
      </c>
      <c r="B867" s="262">
        <v>9</v>
      </c>
      <c r="C867" s="262" t="s">
        <v>940</v>
      </c>
      <c r="D867" s="262">
        <v>5</v>
      </c>
      <c r="E867" s="262" t="s">
        <v>755</v>
      </c>
      <c r="F867" s="262">
        <v>1</v>
      </c>
      <c r="G867" s="262">
        <v>1</v>
      </c>
      <c r="H867" s="262">
        <v>0</v>
      </c>
      <c r="I867" s="263">
        <v>36811.3076171875</v>
      </c>
      <c r="J867" s="262" t="s">
        <v>91</v>
      </c>
      <c r="K867" s="262" t="s">
        <v>92</v>
      </c>
      <c r="L867" s="262" t="s">
        <v>27</v>
      </c>
      <c r="M867" s="262" t="s">
        <v>738</v>
      </c>
      <c r="N867" s="262" t="s">
        <v>727</v>
      </c>
      <c r="O867" s="262" t="s">
        <v>11</v>
      </c>
    </row>
    <row r="868" spans="1:15" s="218" customFormat="1" x14ac:dyDescent="0.25">
      <c r="A868" s="265">
        <v>10</v>
      </c>
      <c r="B868" s="265">
        <v>10</v>
      </c>
      <c r="C868" s="265" t="s">
        <v>1047</v>
      </c>
      <c r="D868" s="265">
        <v>4</v>
      </c>
      <c r="E868" s="265" t="s">
        <v>758</v>
      </c>
      <c r="F868" s="265">
        <v>0</v>
      </c>
      <c r="G868" s="265">
        <v>0</v>
      </c>
      <c r="H868" s="265">
        <v>1</v>
      </c>
      <c r="I868" s="266">
        <v>781556.73730468703</v>
      </c>
      <c r="J868" s="265" t="s">
        <v>7</v>
      </c>
      <c r="K868" s="265" t="s">
        <v>8</v>
      </c>
      <c r="L868" s="265" t="s">
        <v>9</v>
      </c>
      <c r="M868" s="265" t="s">
        <v>10</v>
      </c>
      <c r="N868" s="265" t="s">
        <v>728</v>
      </c>
      <c r="O868" s="265" t="s">
        <v>11</v>
      </c>
    </row>
    <row r="869" spans="1:15" s="28" customFormat="1" x14ac:dyDescent="0.25">
      <c r="A869" s="86">
        <v>10</v>
      </c>
      <c r="B869" s="86">
        <v>10</v>
      </c>
      <c r="C869" s="86" t="s">
        <v>1047</v>
      </c>
      <c r="D869" s="86">
        <v>4</v>
      </c>
      <c r="E869" s="86" t="s">
        <v>758</v>
      </c>
      <c r="F869" s="86">
        <v>0</v>
      </c>
      <c r="G869" s="86">
        <v>0</v>
      </c>
      <c r="H869" s="86">
        <v>1</v>
      </c>
      <c r="I869" s="87">
        <v>17568741.211425699</v>
      </c>
      <c r="J869" s="86" t="s">
        <v>31</v>
      </c>
      <c r="K869" s="86" t="s">
        <v>32</v>
      </c>
      <c r="L869" s="86" t="s">
        <v>33</v>
      </c>
      <c r="M869" s="86" t="s">
        <v>34</v>
      </c>
      <c r="N869" s="86" t="s">
        <v>726</v>
      </c>
      <c r="O869" s="86" t="s">
        <v>35</v>
      </c>
    </row>
    <row r="870" spans="1:15" s="218" customFormat="1" x14ac:dyDescent="0.25">
      <c r="A870" s="265">
        <v>10</v>
      </c>
      <c r="B870" s="265">
        <v>10</v>
      </c>
      <c r="C870" s="265" t="s">
        <v>1047</v>
      </c>
      <c r="D870" s="265">
        <v>4</v>
      </c>
      <c r="E870" s="265" t="s">
        <v>758</v>
      </c>
      <c r="F870" s="265">
        <v>0</v>
      </c>
      <c r="G870" s="265">
        <v>0</v>
      </c>
      <c r="H870" s="265">
        <v>1</v>
      </c>
      <c r="I870" s="266">
        <v>1090795.9003906201</v>
      </c>
      <c r="J870" s="265" t="s">
        <v>36</v>
      </c>
      <c r="K870" s="265" t="s">
        <v>37</v>
      </c>
      <c r="L870" s="265" t="s">
        <v>9</v>
      </c>
      <c r="M870" s="265" t="s">
        <v>10</v>
      </c>
      <c r="N870" s="265" t="s">
        <v>728</v>
      </c>
      <c r="O870" s="265" t="s">
        <v>11</v>
      </c>
    </row>
    <row r="871" spans="1:15" s="129" customFormat="1" x14ac:dyDescent="0.25">
      <c r="A871" s="130">
        <v>10</v>
      </c>
      <c r="B871" s="130">
        <v>10</v>
      </c>
      <c r="C871" s="130" t="s">
        <v>1047</v>
      </c>
      <c r="D871" s="130">
        <v>4</v>
      </c>
      <c r="E871" s="130" t="s">
        <v>758</v>
      </c>
      <c r="F871" s="130">
        <v>0</v>
      </c>
      <c r="G871" s="130">
        <v>0</v>
      </c>
      <c r="H871" s="130">
        <v>1</v>
      </c>
      <c r="I871" s="131">
        <v>2912004.6684570299</v>
      </c>
      <c r="J871" s="130" t="s">
        <v>44</v>
      </c>
      <c r="K871" s="130" t="s">
        <v>45</v>
      </c>
      <c r="L871" s="130" t="s">
        <v>46</v>
      </c>
      <c r="M871" s="130" t="s">
        <v>739</v>
      </c>
      <c r="N871" s="130" t="s">
        <v>15</v>
      </c>
      <c r="O871" s="130" t="s">
        <v>11</v>
      </c>
    </row>
    <row r="872" spans="1:15" s="218" customFormat="1" x14ac:dyDescent="0.25">
      <c r="A872" s="265">
        <v>10</v>
      </c>
      <c r="B872" s="265">
        <v>10</v>
      </c>
      <c r="C872" s="265" t="s">
        <v>1047</v>
      </c>
      <c r="D872" s="265">
        <v>4</v>
      </c>
      <c r="E872" s="265" t="s">
        <v>758</v>
      </c>
      <c r="F872" s="265">
        <v>0</v>
      </c>
      <c r="G872" s="265">
        <v>0</v>
      </c>
      <c r="H872" s="265">
        <v>1</v>
      </c>
      <c r="I872" s="266">
        <v>159778.82421875</v>
      </c>
      <c r="J872" s="265" t="s">
        <v>57</v>
      </c>
      <c r="K872" s="265" t="s">
        <v>58</v>
      </c>
      <c r="L872" s="265" t="s">
        <v>46</v>
      </c>
      <c r="M872" s="265" t="s">
        <v>739</v>
      </c>
      <c r="N872" s="265" t="s">
        <v>728</v>
      </c>
      <c r="O872" s="265" t="s">
        <v>11</v>
      </c>
    </row>
    <row r="873" spans="1:15" s="129" customFormat="1" x14ac:dyDescent="0.25">
      <c r="A873" s="130">
        <v>10</v>
      </c>
      <c r="B873" s="130">
        <v>10</v>
      </c>
      <c r="C873" s="130" t="s">
        <v>1047</v>
      </c>
      <c r="D873" s="130">
        <v>4</v>
      </c>
      <c r="E873" s="130" t="s">
        <v>758</v>
      </c>
      <c r="F873" s="130">
        <v>0</v>
      </c>
      <c r="G873" s="130">
        <v>0</v>
      </c>
      <c r="H873" s="130">
        <v>1</v>
      </c>
      <c r="I873" s="131">
        <v>2457304.73730468</v>
      </c>
      <c r="J873" s="130" t="s">
        <v>59</v>
      </c>
      <c r="K873" s="130" t="s">
        <v>60</v>
      </c>
      <c r="L873" s="130" t="s">
        <v>9</v>
      </c>
      <c r="M873" s="130" t="s">
        <v>10</v>
      </c>
      <c r="N873" s="130" t="s">
        <v>15</v>
      </c>
      <c r="O873" s="130" t="s">
        <v>11</v>
      </c>
    </row>
    <row r="874" spans="1:15" s="218" customFormat="1" x14ac:dyDescent="0.25">
      <c r="A874" s="265">
        <v>10</v>
      </c>
      <c r="B874" s="265">
        <v>10</v>
      </c>
      <c r="C874" s="265" t="s">
        <v>1047</v>
      </c>
      <c r="D874" s="265">
        <v>4</v>
      </c>
      <c r="E874" s="265" t="s">
        <v>758</v>
      </c>
      <c r="F874" s="265">
        <v>0</v>
      </c>
      <c r="G874" s="265">
        <v>0</v>
      </c>
      <c r="H874" s="265">
        <v>1</v>
      </c>
      <c r="I874" s="266">
        <v>946619.31494140602</v>
      </c>
      <c r="J874" s="265" t="s">
        <v>83</v>
      </c>
      <c r="K874" s="265" t="s">
        <v>84</v>
      </c>
      <c r="L874" s="265" t="s">
        <v>80</v>
      </c>
      <c r="M874" s="265" t="s">
        <v>733</v>
      </c>
      <c r="N874" s="265" t="s">
        <v>728</v>
      </c>
      <c r="O874" s="265" t="s">
        <v>11</v>
      </c>
    </row>
    <row r="875" spans="1:15" s="129" customFormat="1" x14ac:dyDescent="0.25">
      <c r="A875" s="130">
        <v>10</v>
      </c>
      <c r="B875" s="130">
        <v>10</v>
      </c>
      <c r="C875" s="130" t="s">
        <v>1047</v>
      </c>
      <c r="D875" s="130">
        <v>4</v>
      </c>
      <c r="E875" s="130" t="s">
        <v>758</v>
      </c>
      <c r="F875" s="130">
        <v>0</v>
      </c>
      <c r="G875" s="130">
        <v>0</v>
      </c>
      <c r="H875" s="130">
        <v>1</v>
      </c>
      <c r="I875" s="131">
        <v>3564095.43652343</v>
      </c>
      <c r="J875" s="130" t="s">
        <v>87</v>
      </c>
      <c r="K875" s="130" t="s">
        <v>88</v>
      </c>
      <c r="L875" s="130" t="s">
        <v>80</v>
      </c>
      <c r="M875" s="130" t="s">
        <v>733</v>
      </c>
      <c r="N875" s="130" t="s">
        <v>15</v>
      </c>
      <c r="O875" s="130" t="s">
        <v>11</v>
      </c>
    </row>
    <row r="876" spans="1:15" s="129" customFormat="1" x14ac:dyDescent="0.25">
      <c r="A876" s="130">
        <v>10</v>
      </c>
      <c r="B876" s="130">
        <v>10</v>
      </c>
      <c r="C876" s="130" t="s">
        <v>1047</v>
      </c>
      <c r="D876" s="130">
        <v>4</v>
      </c>
      <c r="E876" s="130" t="s">
        <v>758</v>
      </c>
      <c r="F876" s="130">
        <v>0</v>
      </c>
      <c r="G876" s="130">
        <v>0</v>
      </c>
      <c r="H876" s="130">
        <v>1</v>
      </c>
      <c r="I876" s="131">
        <v>1453035.20996093</v>
      </c>
      <c r="J876" s="130" t="s">
        <v>101</v>
      </c>
      <c r="K876" s="130" t="s">
        <v>102</v>
      </c>
      <c r="L876" s="130" t="s">
        <v>9</v>
      </c>
      <c r="M876" s="130" t="s">
        <v>10</v>
      </c>
      <c r="N876" s="130" t="s">
        <v>15</v>
      </c>
      <c r="O876" s="130" t="s">
        <v>11</v>
      </c>
    </row>
    <row r="877" spans="1:15" s="264" customFormat="1" x14ac:dyDescent="0.25">
      <c r="A877" s="262">
        <v>10</v>
      </c>
      <c r="B877" s="262">
        <v>10</v>
      </c>
      <c r="C877" s="262" t="s">
        <v>1047</v>
      </c>
      <c r="D877" s="262">
        <v>4</v>
      </c>
      <c r="E877" s="262" t="s">
        <v>758</v>
      </c>
      <c r="F877" s="262">
        <v>0</v>
      </c>
      <c r="G877" s="262">
        <v>0</v>
      </c>
      <c r="H877" s="262">
        <v>1</v>
      </c>
      <c r="I877" s="263">
        <v>636228.37988281203</v>
      </c>
      <c r="J877" s="262" t="s">
        <v>116</v>
      </c>
      <c r="K877" s="262" t="s">
        <v>117</v>
      </c>
      <c r="L877" s="262" t="s">
        <v>80</v>
      </c>
      <c r="M877" s="262" t="s">
        <v>733</v>
      </c>
      <c r="N877" s="262" t="s">
        <v>727</v>
      </c>
      <c r="O877" s="262" t="s">
        <v>11</v>
      </c>
    </row>
    <row r="878" spans="1:15" s="129" customFormat="1" x14ac:dyDescent="0.25">
      <c r="A878" s="130">
        <v>10</v>
      </c>
      <c r="B878" s="130">
        <v>10</v>
      </c>
      <c r="C878" s="130" t="s">
        <v>1047</v>
      </c>
      <c r="D878" s="130">
        <v>4</v>
      </c>
      <c r="E878" s="130" t="s">
        <v>758</v>
      </c>
      <c r="F878" s="130">
        <v>0</v>
      </c>
      <c r="G878" s="130">
        <v>0</v>
      </c>
      <c r="H878" s="130">
        <v>1</v>
      </c>
      <c r="I878" s="131">
        <v>3908626.1743164002</v>
      </c>
      <c r="J878" s="130" t="s">
        <v>126</v>
      </c>
      <c r="K878" s="130" t="s">
        <v>127</v>
      </c>
      <c r="L878" s="130" t="s">
        <v>9</v>
      </c>
      <c r="M878" s="130" t="s">
        <v>10</v>
      </c>
      <c r="N878" s="130" t="s">
        <v>15</v>
      </c>
      <c r="O878" s="130" t="s">
        <v>11</v>
      </c>
    </row>
    <row r="879" spans="1:15" s="129" customFormat="1" x14ac:dyDescent="0.25">
      <c r="A879" s="130">
        <v>10</v>
      </c>
      <c r="B879" s="130">
        <v>10</v>
      </c>
      <c r="C879" s="130" t="s">
        <v>1047</v>
      </c>
      <c r="D879" s="130">
        <v>4</v>
      </c>
      <c r="E879" s="130" t="s">
        <v>758</v>
      </c>
      <c r="F879" s="130">
        <v>0</v>
      </c>
      <c r="G879" s="130">
        <v>0</v>
      </c>
      <c r="H879" s="130">
        <v>1</v>
      </c>
      <c r="I879" s="131">
        <v>71.595703125</v>
      </c>
      <c r="J879" s="130" t="s">
        <v>153</v>
      </c>
      <c r="K879" s="130" t="s">
        <v>154</v>
      </c>
      <c r="L879" s="130" t="s">
        <v>80</v>
      </c>
      <c r="M879" s="130" t="s">
        <v>733</v>
      </c>
      <c r="N879" s="130" t="s">
        <v>15</v>
      </c>
      <c r="O879" s="130" t="s">
        <v>11</v>
      </c>
    </row>
    <row r="880" spans="1:15" s="264" customFormat="1" x14ac:dyDescent="0.25">
      <c r="A880" s="262">
        <v>10</v>
      </c>
      <c r="B880" s="262">
        <v>10</v>
      </c>
      <c r="C880" s="262" t="s">
        <v>1047</v>
      </c>
      <c r="D880" s="262">
        <v>4</v>
      </c>
      <c r="E880" s="262" t="s">
        <v>758</v>
      </c>
      <c r="F880" s="262">
        <v>0</v>
      </c>
      <c r="G880" s="262">
        <v>0</v>
      </c>
      <c r="H880" s="262">
        <v>1</v>
      </c>
      <c r="I880" s="263">
        <v>3397872.6665039002</v>
      </c>
      <c r="J880" s="262" t="s">
        <v>87</v>
      </c>
      <c r="K880" s="262" t="s">
        <v>88</v>
      </c>
      <c r="L880" s="262" t="s">
        <v>80</v>
      </c>
      <c r="M880" s="262" t="s">
        <v>733</v>
      </c>
      <c r="N880" s="262" t="s">
        <v>727</v>
      </c>
      <c r="O880" s="262" t="s">
        <v>11</v>
      </c>
    </row>
    <row r="881" spans="1:15" s="278" customFormat="1" x14ac:dyDescent="0.25">
      <c r="A881" s="276">
        <v>10</v>
      </c>
      <c r="B881" s="276">
        <v>10</v>
      </c>
      <c r="C881" s="276" t="s">
        <v>1047</v>
      </c>
      <c r="D881" s="276">
        <v>4</v>
      </c>
      <c r="E881" s="276" t="s">
        <v>758</v>
      </c>
      <c r="F881" s="276">
        <v>0</v>
      </c>
      <c r="G881" s="276">
        <v>0</v>
      </c>
      <c r="H881" s="276">
        <v>1</v>
      </c>
      <c r="I881" s="277">
        <v>163.57421875</v>
      </c>
      <c r="J881" s="276" t="s">
        <v>116</v>
      </c>
      <c r="K881" s="276" t="s">
        <v>117</v>
      </c>
      <c r="L881" s="276" t="s">
        <v>80</v>
      </c>
      <c r="M881" s="276" t="s">
        <v>733</v>
      </c>
      <c r="N881" s="276" t="s">
        <v>729</v>
      </c>
      <c r="O881" s="276" t="s">
        <v>11</v>
      </c>
    </row>
    <row r="882" spans="1:15" s="264" customFormat="1" x14ac:dyDescent="0.25">
      <c r="A882" s="262">
        <v>10</v>
      </c>
      <c r="B882" s="262">
        <v>10</v>
      </c>
      <c r="C882" s="262" t="s">
        <v>1047</v>
      </c>
      <c r="D882" s="262">
        <v>4</v>
      </c>
      <c r="E882" s="262" t="s">
        <v>758</v>
      </c>
      <c r="F882" s="262">
        <v>0</v>
      </c>
      <c r="G882" s="262">
        <v>0</v>
      </c>
      <c r="H882" s="262">
        <v>1</v>
      </c>
      <c r="I882" s="263">
        <v>1813129.2978515599</v>
      </c>
      <c r="J882" s="262" t="s">
        <v>167</v>
      </c>
      <c r="K882" s="262" t="s">
        <v>168</v>
      </c>
      <c r="L882" s="262" t="s">
        <v>33</v>
      </c>
      <c r="M882" s="262" t="s">
        <v>34</v>
      </c>
      <c r="N882" s="262" t="s">
        <v>727</v>
      </c>
      <c r="O882" s="262" t="s">
        <v>11</v>
      </c>
    </row>
    <row r="883" spans="1:15" s="218" customFormat="1" x14ac:dyDescent="0.25">
      <c r="A883" s="265">
        <v>10</v>
      </c>
      <c r="B883" s="265">
        <v>10</v>
      </c>
      <c r="C883" s="265" t="s">
        <v>1047</v>
      </c>
      <c r="D883" s="265">
        <v>4</v>
      </c>
      <c r="E883" s="265" t="s">
        <v>758</v>
      </c>
      <c r="F883" s="265">
        <v>0</v>
      </c>
      <c r="G883" s="265">
        <v>0</v>
      </c>
      <c r="H883" s="265">
        <v>1</v>
      </c>
      <c r="I883" s="266">
        <v>193096.00732421799</v>
      </c>
      <c r="J883" s="265" t="s">
        <v>173</v>
      </c>
      <c r="K883" s="265" t="s">
        <v>174</v>
      </c>
      <c r="L883" s="265" t="s">
        <v>9</v>
      </c>
      <c r="M883" s="265" t="s">
        <v>10</v>
      </c>
      <c r="N883" s="265" t="s">
        <v>728</v>
      </c>
      <c r="O883" s="265" t="s">
        <v>11</v>
      </c>
    </row>
    <row r="884" spans="1:15" s="264" customFormat="1" x14ac:dyDescent="0.25">
      <c r="A884" s="262">
        <v>10</v>
      </c>
      <c r="B884" s="262">
        <v>10</v>
      </c>
      <c r="C884" s="262" t="s">
        <v>1047</v>
      </c>
      <c r="D884" s="262">
        <v>4</v>
      </c>
      <c r="E884" s="262" t="s">
        <v>758</v>
      </c>
      <c r="F884" s="262">
        <v>0</v>
      </c>
      <c r="G884" s="262">
        <v>0</v>
      </c>
      <c r="H884" s="262">
        <v>1</v>
      </c>
      <c r="I884" s="263">
        <v>962165.86181640602</v>
      </c>
      <c r="J884" s="262" t="s">
        <v>175</v>
      </c>
      <c r="K884" s="262" t="s">
        <v>176</v>
      </c>
      <c r="L884" s="262" t="s">
        <v>80</v>
      </c>
      <c r="M884" s="262" t="s">
        <v>733</v>
      </c>
      <c r="N884" s="262" t="s">
        <v>727</v>
      </c>
      <c r="O884" s="262" t="s">
        <v>11</v>
      </c>
    </row>
    <row r="885" spans="1:15" s="218" customFormat="1" x14ac:dyDescent="0.25">
      <c r="A885" s="265">
        <v>10</v>
      </c>
      <c r="B885" s="265">
        <v>10</v>
      </c>
      <c r="C885" s="265" t="s">
        <v>1047</v>
      </c>
      <c r="D885" s="265">
        <v>4</v>
      </c>
      <c r="E885" s="265" t="s">
        <v>758</v>
      </c>
      <c r="F885" s="265">
        <v>0</v>
      </c>
      <c r="G885" s="265">
        <v>0</v>
      </c>
      <c r="H885" s="265">
        <v>1</v>
      </c>
      <c r="I885" s="266">
        <v>467332.59521484299</v>
      </c>
      <c r="J885" s="265" t="s">
        <v>185</v>
      </c>
      <c r="K885" s="265" t="s">
        <v>186</v>
      </c>
      <c r="L885" s="265" t="s">
        <v>80</v>
      </c>
      <c r="M885" s="265" t="s">
        <v>733</v>
      </c>
      <c r="N885" s="265" t="s">
        <v>728</v>
      </c>
      <c r="O885" s="265" t="s">
        <v>11</v>
      </c>
    </row>
    <row r="886" spans="1:15" s="278" customFormat="1" x14ac:dyDescent="0.25">
      <c r="A886" s="276">
        <v>10</v>
      </c>
      <c r="B886" s="276">
        <v>10</v>
      </c>
      <c r="C886" s="276" t="s">
        <v>1047</v>
      </c>
      <c r="D886" s="276">
        <v>4</v>
      </c>
      <c r="E886" s="276" t="s">
        <v>758</v>
      </c>
      <c r="F886" s="276">
        <v>0</v>
      </c>
      <c r="G886" s="276">
        <v>0</v>
      </c>
      <c r="H886" s="276">
        <v>1</v>
      </c>
      <c r="I886" s="277">
        <v>13292.235839843701</v>
      </c>
      <c r="J886" s="276" t="s">
        <v>87</v>
      </c>
      <c r="K886" s="276" t="s">
        <v>88</v>
      </c>
      <c r="L886" s="276" t="s">
        <v>80</v>
      </c>
      <c r="M886" s="276" t="s">
        <v>733</v>
      </c>
      <c r="N886" s="276" t="s">
        <v>729</v>
      </c>
      <c r="O886" s="276" t="s">
        <v>11</v>
      </c>
    </row>
    <row r="887" spans="1:15" s="129" customFormat="1" x14ac:dyDescent="0.25">
      <c r="A887" s="130">
        <v>10</v>
      </c>
      <c r="B887" s="130">
        <v>10</v>
      </c>
      <c r="C887" s="130" t="s">
        <v>1047</v>
      </c>
      <c r="D887" s="130">
        <v>4</v>
      </c>
      <c r="E887" s="130" t="s">
        <v>758</v>
      </c>
      <c r="F887" s="130">
        <v>0</v>
      </c>
      <c r="G887" s="130">
        <v>0</v>
      </c>
      <c r="H887" s="130">
        <v>1</v>
      </c>
      <c r="I887" s="131">
        <v>1141479.1767578099</v>
      </c>
      <c r="J887" s="130" t="s">
        <v>203</v>
      </c>
      <c r="K887" s="130" t="s">
        <v>204</v>
      </c>
      <c r="L887" s="130" t="s">
        <v>80</v>
      </c>
      <c r="M887" s="130" t="s">
        <v>733</v>
      </c>
      <c r="N887" s="130" t="s">
        <v>15</v>
      </c>
      <c r="O887" s="130" t="s">
        <v>11</v>
      </c>
    </row>
    <row r="888" spans="1:15" s="218" customFormat="1" x14ac:dyDescent="0.25">
      <c r="A888" s="265">
        <v>10</v>
      </c>
      <c r="B888" s="265">
        <v>10</v>
      </c>
      <c r="C888" s="265" t="s">
        <v>1047</v>
      </c>
      <c r="D888" s="265">
        <v>4</v>
      </c>
      <c r="E888" s="265" t="s">
        <v>758</v>
      </c>
      <c r="F888" s="265">
        <v>0</v>
      </c>
      <c r="G888" s="265">
        <v>0</v>
      </c>
      <c r="H888" s="265">
        <v>1</v>
      </c>
      <c r="I888" s="266">
        <v>2735275.0239257799</v>
      </c>
      <c r="J888" s="265" t="s">
        <v>207</v>
      </c>
      <c r="K888" s="265" t="s">
        <v>208</v>
      </c>
      <c r="L888" s="265" t="s">
        <v>33</v>
      </c>
      <c r="M888" s="265" t="s">
        <v>34</v>
      </c>
      <c r="N888" s="265" t="s">
        <v>728</v>
      </c>
      <c r="O888" s="265" t="s">
        <v>11</v>
      </c>
    </row>
    <row r="889" spans="1:15" s="129" customFormat="1" x14ac:dyDescent="0.25">
      <c r="A889" s="130">
        <v>10</v>
      </c>
      <c r="B889" s="130">
        <v>10</v>
      </c>
      <c r="C889" s="130" t="s">
        <v>1047</v>
      </c>
      <c r="D889" s="130">
        <v>4</v>
      </c>
      <c r="E889" s="130" t="s">
        <v>758</v>
      </c>
      <c r="F889" s="130">
        <v>0</v>
      </c>
      <c r="G889" s="130">
        <v>0</v>
      </c>
      <c r="H889" s="130">
        <v>1</v>
      </c>
      <c r="I889" s="131">
        <v>894775.78564453102</v>
      </c>
      <c r="J889" s="130" t="s">
        <v>116</v>
      </c>
      <c r="K889" s="130" t="s">
        <v>117</v>
      </c>
      <c r="L889" s="130" t="s">
        <v>80</v>
      </c>
      <c r="M889" s="130" t="s">
        <v>733</v>
      </c>
      <c r="N889" s="130" t="s">
        <v>15</v>
      </c>
      <c r="O889" s="130" t="s">
        <v>11</v>
      </c>
    </row>
    <row r="890" spans="1:15" s="218" customFormat="1" x14ac:dyDescent="0.25">
      <c r="A890" s="265">
        <v>10</v>
      </c>
      <c r="B890" s="265">
        <v>10</v>
      </c>
      <c r="C890" s="265" t="s">
        <v>1047</v>
      </c>
      <c r="D890" s="265">
        <v>4</v>
      </c>
      <c r="E890" s="265" t="s">
        <v>758</v>
      </c>
      <c r="F890" s="265">
        <v>0</v>
      </c>
      <c r="G890" s="265">
        <v>0</v>
      </c>
      <c r="H890" s="265">
        <v>1</v>
      </c>
      <c r="I890" s="266">
        <v>907976.21044921805</v>
      </c>
      <c r="J890" s="265" t="s">
        <v>221</v>
      </c>
      <c r="K890" s="265" t="s">
        <v>222</v>
      </c>
      <c r="L890" s="265" t="s">
        <v>80</v>
      </c>
      <c r="M890" s="265" t="s">
        <v>733</v>
      </c>
      <c r="N890" s="265" t="s">
        <v>728</v>
      </c>
      <c r="O890" s="265" t="s">
        <v>11</v>
      </c>
    </row>
    <row r="891" spans="1:15" s="264" customFormat="1" x14ac:dyDescent="0.25">
      <c r="A891" s="262">
        <v>10</v>
      </c>
      <c r="B891" s="262">
        <v>10</v>
      </c>
      <c r="C891" s="262" t="s">
        <v>1047</v>
      </c>
      <c r="D891" s="262">
        <v>4</v>
      </c>
      <c r="E891" s="262" t="s">
        <v>758</v>
      </c>
      <c r="F891" s="262">
        <v>0</v>
      </c>
      <c r="G891" s="262">
        <v>0</v>
      </c>
      <c r="H891" s="262">
        <v>1</v>
      </c>
      <c r="I891" s="263">
        <v>332787.41943359299</v>
      </c>
      <c r="J891" s="262" t="s">
        <v>223</v>
      </c>
      <c r="K891" s="262" t="s">
        <v>224</v>
      </c>
      <c r="L891" s="262" t="s">
        <v>80</v>
      </c>
      <c r="M891" s="262" t="s">
        <v>733</v>
      </c>
      <c r="N891" s="262" t="s">
        <v>727</v>
      </c>
      <c r="O891" s="262" t="s">
        <v>11</v>
      </c>
    </row>
    <row r="892" spans="1:15" s="218" customFormat="1" x14ac:dyDescent="0.25">
      <c r="A892" s="265">
        <v>10</v>
      </c>
      <c r="B892" s="265">
        <v>10</v>
      </c>
      <c r="C892" s="265" t="s">
        <v>1047</v>
      </c>
      <c r="D892" s="265">
        <v>4</v>
      </c>
      <c r="E892" s="265" t="s">
        <v>758</v>
      </c>
      <c r="F892" s="265">
        <v>0</v>
      </c>
      <c r="G892" s="265">
        <v>0</v>
      </c>
      <c r="H892" s="265">
        <v>1</v>
      </c>
      <c r="I892" s="266">
        <v>2201842.9174804599</v>
      </c>
      <c r="J892" s="265" t="s">
        <v>225</v>
      </c>
      <c r="K892" s="265" t="s">
        <v>226</v>
      </c>
      <c r="L892" s="265" t="s">
        <v>227</v>
      </c>
      <c r="M892" s="265" t="s">
        <v>228</v>
      </c>
      <c r="N892" s="265" t="s">
        <v>728</v>
      </c>
      <c r="O892" s="265" t="s">
        <v>11</v>
      </c>
    </row>
    <row r="893" spans="1:15" s="218" customFormat="1" x14ac:dyDescent="0.25">
      <c r="A893" s="265">
        <v>10</v>
      </c>
      <c r="B893" s="265">
        <v>10</v>
      </c>
      <c r="C893" s="265" t="s">
        <v>1047</v>
      </c>
      <c r="D893" s="265">
        <v>4</v>
      </c>
      <c r="E893" s="265" t="s">
        <v>758</v>
      </c>
      <c r="F893" s="265">
        <v>0</v>
      </c>
      <c r="G893" s="265">
        <v>0</v>
      </c>
      <c r="H893" s="265">
        <v>1</v>
      </c>
      <c r="I893" s="266">
        <v>835254.89501953102</v>
      </c>
      <c r="J893" s="265" t="s">
        <v>229</v>
      </c>
      <c r="K893" s="265" t="s">
        <v>230</v>
      </c>
      <c r="L893" s="265" t="s">
        <v>80</v>
      </c>
      <c r="M893" s="265" t="s">
        <v>733</v>
      </c>
      <c r="N893" s="265" t="s">
        <v>728</v>
      </c>
      <c r="O893" s="265" t="s">
        <v>11</v>
      </c>
    </row>
    <row r="894" spans="1:15" s="264" customFormat="1" x14ac:dyDescent="0.25">
      <c r="A894" s="262">
        <v>10</v>
      </c>
      <c r="B894" s="262">
        <v>10</v>
      </c>
      <c r="C894" s="262" t="s">
        <v>1047</v>
      </c>
      <c r="D894" s="262">
        <v>4</v>
      </c>
      <c r="E894" s="262" t="s">
        <v>758</v>
      </c>
      <c r="F894" s="262">
        <v>0</v>
      </c>
      <c r="G894" s="262">
        <v>0</v>
      </c>
      <c r="H894" s="262">
        <v>1</v>
      </c>
      <c r="I894" s="263">
        <v>639569.70019531203</v>
      </c>
      <c r="J894" s="262" t="s">
        <v>101</v>
      </c>
      <c r="K894" s="262" t="s">
        <v>102</v>
      </c>
      <c r="L894" s="262" t="s">
        <v>9</v>
      </c>
      <c r="M894" s="262" t="s">
        <v>10</v>
      </c>
      <c r="N894" s="262" t="s">
        <v>727</v>
      </c>
      <c r="O894" s="262" t="s">
        <v>11</v>
      </c>
    </row>
    <row r="895" spans="1:15" s="218" customFormat="1" x14ac:dyDescent="0.25">
      <c r="A895" s="265">
        <v>10</v>
      </c>
      <c r="B895" s="265">
        <v>10</v>
      </c>
      <c r="C895" s="265" t="s">
        <v>1047</v>
      </c>
      <c r="D895" s="265">
        <v>4</v>
      </c>
      <c r="E895" s="265" t="s">
        <v>758</v>
      </c>
      <c r="F895" s="265">
        <v>0</v>
      </c>
      <c r="G895" s="265">
        <v>0</v>
      </c>
      <c r="H895" s="265">
        <v>1</v>
      </c>
      <c r="I895" s="266">
        <v>678021.05175781203</v>
      </c>
      <c r="J895" s="265" t="s">
        <v>245</v>
      </c>
      <c r="K895" s="265" t="s">
        <v>246</v>
      </c>
      <c r="L895" s="265" t="s">
        <v>9</v>
      </c>
      <c r="M895" s="265" t="s">
        <v>10</v>
      </c>
      <c r="N895" s="265" t="s">
        <v>728</v>
      </c>
      <c r="O895" s="265" t="s">
        <v>11</v>
      </c>
    </row>
    <row r="896" spans="1:15" s="264" customFormat="1" x14ac:dyDescent="0.25">
      <c r="A896" s="262">
        <v>10</v>
      </c>
      <c r="B896" s="262">
        <v>10</v>
      </c>
      <c r="C896" s="262" t="s">
        <v>1047</v>
      </c>
      <c r="D896" s="262">
        <v>4</v>
      </c>
      <c r="E896" s="262" t="s">
        <v>758</v>
      </c>
      <c r="F896" s="262">
        <v>0</v>
      </c>
      <c r="G896" s="262">
        <v>0</v>
      </c>
      <c r="H896" s="262">
        <v>1</v>
      </c>
      <c r="I896" s="263">
        <v>3566114.9633789002</v>
      </c>
      <c r="J896" s="262" t="s">
        <v>207</v>
      </c>
      <c r="K896" s="262" t="s">
        <v>208</v>
      </c>
      <c r="L896" s="262" t="s">
        <v>33</v>
      </c>
      <c r="M896" s="262" t="s">
        <v>34</v>
      </c>
      <c r="N896" s="262" t="s">
        <v>727</v>
      </c>
      <c r="O896" s="262" t="s">
        <v>11</v>
      </c>
    </row>
    <row r="897" spans="1:15" s="218" customFormat="1" x14ac:dyDescent="0.25">
      <c r="A897" s="265">
        <v>10</v>
      </c>
      <c r="B897" s="265">
        <v>10</v>
      </c>
      <c r="C897" s="265" t="s">
        <v>1047</v>
      </c>
      <c r="D897" s="265">
        <v>4</v>
      </c>
      <c r="E897" s="265" t="s">
        <v>758</v>
      </c>
      <c r="F897" s="265">
        <v>0</v>
      </c>
      <c r="G897" s="265">
        <v>0</v>
      </c>
      <c r="H897" s="265">
        <v>1</v>
      </c>
      <c r="I897" s="266">
        <v>624143.775390625</v>
      </c>
      <c r="J897" s="265" t="s">
        <v>116</v>
      </c>
      <c r="K897" s="265" t="s">
        <v>117</v>
      </c>
      <c r="L897" s="265" t="s">
        <v>80</v>
      </c>
      <c r="M897" s="265" t="s">
        <v>733</v>
      </c>
      <c r="N897" s="265" t="s">
        <v>728</v>
      </c>
      <c r="O897" s="265" t="s">
        <v>11</v>
      </c>
    </row>
    <row r="898" spans="1:15" s="264" customFormat="1" x14ac:dyDescent="0.25">
      <c r="A898" s="262">
        <v>10</v>
      </c>
      <c r="B898" s="262">
        <v>10</v>
      </c>
      <c r="C898" s="262" t="s">
        <v>1047</v>
      </c>
      <c r="D898" s="262">
        <v>4</v>
      </c>
      <c r="E898" s="262" t="s">
        <v>758</v>
      </c>
      <c r="F898" s="262">
        <v>0</v>
      </c>
      <c r="G898" s="262">
        <v>0</v>
      </c>
      <c r="H898" s="262">
        <v>1</v>
      </c>
      <c r="I898" s="263">
        <v>2739323.2250976502</v>
      </c>
      <c r="J898" s="262" t="s">
        <v>225</v>
      </c>
      <c r="K898" s="262" t="s">
        <v>226</v>
      </c>
      <c r="L898" s="262" t="s">
        <v>227</v>
      </c>
      <c r="M898" s="262" t="s">
        <v>228</v>
      </c>
      <c r="N898" s="262" t="s">
        <v>727</v>
      </c>
      <c r="O898" s="262" t="s">
        <v>11</v>
      </c>
    </row>
    <row r="899" spans="1:15" s="129" customFormat="1" x14ac:dyDescent="0.25">
      <c r="A899" s="130">
        <v>10</v>
      </c>
      <c r="B899" s="130">
        <v>10</v>
      </c>
      <c r="C899" s="130" t="s">
        <v>1047</v>
      </c>
      <c r="D899" s="130">
        <v>4</v>
      </c>
      <c r="E899" s="130" t="s">
        <v>758</v>
      </c>
      <c r="F899" s="130">
        <v>0</v>
      </c>
      <c r="G899" s="130">
        <v>0</v>
      </c>
      <c r="H899" s="130">
        <v>1</v>
      </c>
      <c r="I899" s="131">
        <v>9069.52294921875</v>
      </c>
      <c r="J899" s="130" t="s">
        <v>269</v>
      </c>
      <c r="K899" s="130" t="s">
        <v>270</v>
      </c>
      <c r="L899" s="130" t="s">
        <v>9</v>
      </c>
      <c r="M899" s="130" t="s">
        <v>10</v>
      </c>
      <c r="N899" s="130" t="s">
        <v>15</v>
      </c>
      <c r="O899" s="130" t="s">
        <v>11</v>
      </c>
    </row>
    <row r="900" spans="1:15" s="264" customFormat="1" x14ac:dyDescent="0.25">
      <c r="A900" s="262">
        <v>10</v>
      </c>
      <c r="B900" s="262">
        <v>10</v>
      </c>
      <c r="C900" s="262" t="s">
        <v>1047</v>
      </c>
      <c r="D900" s="262">
        <v>4</v>
      </c>
      <c r="E900" s="262" t="s">
        <v>758</v>
      </c>
      <c r="F900" s="262">
        <v>0</v>
      </c>
      <c r="G900" s="262">
        <v>0</v>
      </c>
      <c r="H900" s="262">
        <v>1</v>
      </c>
      <c r="I900" s="263">
        <v>1511048.46630859</v>
      </c>
      <c r="J900" s="262" t="s">
        <v>221</v>
      </c>
      <c r="K900" s="262" t="s">
        <v>222</v>
      </c>
      <c r="L900" s="262" t="s">
        <v>80</v>
      </c>
      <c r="M900" s="262" t="s">
        <v>733</v>
      </c>
      <c r="N900" s="262" t="s">
        <v>727</v>
      </c>
      <c r="O900" s="262" t="s">
        <v>11</v>
      </c>
    </row>
    <row r="901" spans="1:15" s="129" customFormat="1" x14ac:dyDescent="0.25">
      <c r="A901" s="130">
        <v>10</v>
      </c>
      <c r="B901" s="130">
        <v>10</v>
      </c>
      <c r="C901" s="130" t="s">
        <v>1047</v>
      </c>
      <c r="D901" s="130">
        <v>4</v>
      </c>
      <c r="E901" s="130" t="s">
        <v>758</v>
      </c>
      <c r="F901" s="130">
        <v>0</v>
      </c>
      <c r="G901" s="130">
        <v>0</v>
      </c>
      <c r="H901" s="130">
        <v>1</v>
      </c>
      <c r="I901" s="131">
        <v>525582.15332031203</v>
      </c>
      <c r="J901" s="130" t="s">
        <v>221</v>
      </c>
      <c r="K901" s="130" t="s">
        <v>222</v>
      </c>
      <c r="L901" s="130" t="s">
        <v>80</v>
      </c>
      <c r="M901" s="130" t="s">
        <v>733</v>
      </c>
      <c r="N901" s="130" t="s">
        <v>15</v>
      </c>
      <c r="O901" s="130" t="s">
        <v>11</v>
      </c>
    </row>
    <row r="902" spans="1:15" s="278" customFormat="1" x14ac:dyDescent="0.25">
      <c r="A902" s="276">
        <v>10</v>
      </c>
      <c r="B902" s="276">
        <v>10</v>
      </c>
      <c r="C902" s="276" t="s">
        <v>1047</v>
      </c>
      <c r="D902" s="276">
        <v>4</v>
      </c>
      <c r="E902" s="276" t="s">
        <v>758</v>
      </c>
      <c r="F902" s="276">
        <v>0</v>
      </c>
      <c r="G902" s="276">
        <v>0</v>
      </c>
      <c r="H902" s="276">
        <v>1</v>
      </c>
      <c r="I902" s="277">
        <v>24918.741699218699</v>
      </c>
      <c r="J902" s="276" t="s">
        <v>83</v>
      </c>
      <c r="K902" s="276" t="s">
        <v>84</v>
      </c>
      <c r="L902" s="276" t="s">
        <v>80</v>
      </c>
      <c r="M902" s="276" t="s">
        <v>733</v>
      </c>
      <c r="N902" s="276" t="s">
        <v>729</v>
      </c>
      <c r="O902" s="276" t="s">
        <v>11</v>
      </c>
    </row>
    <row r="903" spans="1:15" s="264" customFormat="1" x14ac:dyDescent="0.25">
      <c r="A903" s="262">
        <v>10</v>
      </c>
      <c r="B903" s="262">
        <v>10</v>
      </c>
      <c r="C903" s="262" t="s">
        <v>1047</v>
      </c>
      <c r="D903" s="262">
        <v>4</v>
      </c>
      <c r="E903" s="262" t="s">
        <v>758</v>
      </c>
      <c r="F903" s="262">
        <v>0</v>
      </c>
      <c r="G903" s="262">
        <v>0</v>
      </c>
      <c r="H903" s="262">
        <v>1</v>
      </c>
      <c r="I903" s="263">
        <v>3383920.9707031199</v>
      </c>
      <c r="J903" s="262" t="s">
        <v>203</v>
      </c>
      <c r="K903" s="262" t="s">
        <v>204</v>
      </c>
      <c r="L903" s="262" t="s">
        <v>80</v>
      </c>
      <c r="M903" s="262" t="s">
        <v>733</v>
      </c>
      <c r="N903" s="262" t="s">
        <v>727</v>
      </c>
      <c r="O903" s="262" t="s">
        <v>11</v>
      </c>
    </row>
    <row r="904" spans="1:15" s="129" customFormat="1" x14ac:dyDescent="0.25">
      <c r="A904" s="130">
        <v>10</v>
      </c>
      <c r="B904" s="130">
        <v>10</v>
      </c>
      <c r="C904" s="130" t="s">
        <v>1047</v>
      </c>
      <c r="D904" s="130">
        <v>4</v>
      </c>
      <c r="E904" s="130" t="s">
        <v>758</v>
      </c>
      <c r="F904" s="130">
        <v>0</v>
      </c>
      <c r="G904" s="130">
        <v>0</v>
      </c>
      <c r="H904" s="130">
        <v>1</v>
      </c>
      <c r="I904" s="131">
        <v>1031125.13134765</v>
      </c>
      <c r="J904" s="130" t="s">
        <v>175</v>
      </c>
      <c r="K904" s="130" t="s">
        <v>176</v>
      </c>
      <c r="L904" s="130" t="s">
        <v>80</v>
      </c>
      <c r="M904" s="130" t="s">
        <v>733</v>
      </c>
      <c r="N904" s="130" t="s">
        <v>15</v>
      </c>
      <c r="O904" s="130" t="s">
        <v>11</v>
      </c>
    </row>
    <row r="905" spans="1:15" s="278" customFormat="1" x14ac:dyDescent="0.25">
      <c r="A905" s="276">
        <v>10</v>
      </c>
      <c r="B905" s="276">
        <v>10</v>
      </c>
      <c r="C905" s="276" t="s">
        <v>1047</v>
      </c>
      <c r="D905" s="276">
        <v>4</v>
      </c>
      <c r="E905" s="276" t="s">
        <v>758</v>
      </c>
      <c r="F905" s="276">
        <v>0</v>
      </c>
      <c r="G905" s="276">
        <v>0</v>
      </c>
      <c r="H905" s="276">
        <v>1</v>
      </c>
      <c r="I905" s="277">
        <v>817.58154296875</v>
      </c>
      <c r="J905" s="276" t="s">
        <v>305</v>
      </c>
      <c r="K905" s="276" t="s">
        <v>306</v>
      </c>
      <c r="L905" s="276" t="s">
        <v>80</v>
      </c>
      <c r="M905" s="276" t="s">
        <v>733</v>
      </c>
      <c r="N905" s="276" t="s">
        <v>729</v>
      </c>
      <c r="O905" s="276" t="s">
        <v>11</v>
      </c>
    </row>
    <row r="906" spans="1:15" s="264" customFormat="1" x14ac:dyDescent="0.25">
      <c r="A906" s="262">
        <v>10</v>
      </c>
      <c r="B906" s="262">
        <v>10</v>
      </c>
      <c r="C906" s="262" t="s">
        <v>1047</v>
      </c>
      <c r="D906" s="262">
        <v>4</v>
      </c>
      <c r="E906" s="262" t="s">
        <v>758</v>
      </c>
      <c r="F906" s="262">
        <v>0</v>
      </c>
      <c r="G906" s="262">
        <v>0</v>
      </c>
      <c r="H906" s="262">
        <v>1</v>
      </c>
      <c r="I906" s="263">
        <v>1285793.03417968</v>
      </c>
      <c r="J906" s="262" t="s">
        <v>36</v>
      </c>
      <c r="K906" s="262" t="s">
        <v>37</v>
      </c>
      <c r="L906" s="262" t="s">
        <v>9</v>
      </c>
      <c r="M906" s="262" t="s">
        <v>10</v>
      </c>
      <c r="N906" s="262" t="s">
        <v>727</v>
      </c>
      <c r="O906" s="262" t="s">
        <v>11</v>
      </c>
    </row>
    <row r="907" spans="1:15" s="129" customFormat="1" x14ac:dyDescent="0.25">
      <c r="A907" s="130">
        <v>10</v>
      </c>
      <c r="B907" s="130">
        <v>10</v>
      </c>
      <c r="C907" s="130" t="s">
        <v>1047</v>
      </c>
      <c r="D907" s="130">
        <v>4</v>
      </c>
      <c r="E907" s="130" t="s">
        <v>758</v>
      </c>
      <c r="F907" s="130">
        <v>0</v>
      </c>
      <c r="G907" s="130">
        <v>0</v>
      </c>
      <c r="H907" s="130">
        <v>1</v>
      </c>
      <c r="I907" s="131">
        <v>1030856.07861328</v>
      </c>
      <c r="J907" s="130" t="s">
        <v>323</v>
      </c>
      <c r="K907" s="130" t="s">
        <v>324</v>
      </c>
      <c r="L907" s="130" t="s">
        <v>80</v>
      </c>
      <c r="M907" s="130" t="s">
        <v>733</v>
      </c>
      <c r="N907" s="130" t="s">
        <v>15</v>
      </c>
      <c r="O907" s="130" t="s">
        <v>11</v>
      </c>
    </row>
    <row r="908" spans="1:15" s="218" customFormat="1" x14ac:dyDescent="0.25">
      <c r="A908" s="265">
        <v>10</v>
      </c>
      <c r="B908" s="265">
        <v>10</v>
      </c>
      <c r="C908" s="265" t="s">
        <v>1047</v>
      </c>
      <c r="D908" s="265">
        <v>4</v>
      </c>
      <c r="E908" s="265" t="s">
        <v>758</v>
      </c>
      <c r="F908" s="265">
        <v>0</v>
      </c>
      <c r="G908" s="265">
        <v>0</v>
      </c>
      <c r="H908" s="265">
        <v>1</v>
      </c>
      <c r="I908" s="266">
        <v>764751.099609375</v>
      </c>
      <c r="J908" s="265" t="s">
        <v>325</v>
      </c>
      <c r="K908" s="265" t="s">
        <v>326</v>
      </c>
      <c r="L908" s="265" t="s">
        <v>80</v>
      </c>
      <c r="M908" s="265" t="s">
        <v>733</v>
      </c>
      <c r="N908" s="265" t="s">
        <v>728</v>
      </c>
      <c r="O908" s="265" t="s">
        <v>11</v>
      </c>
    </row>
    <row r="909" spans="1:15" s="264" customFormat="1" x14ac:dyDescent="0.25">
      <c r="A909" s="262">
        <v>10</v>
      </c>
      <c r="B909" s="262">
        <v>10</v>
      </c>
      <c r="C909" s="262" t="s">
        <v>1047</v>
      </c>
      <c r="D909" s="262">
        <v>4</v>
      </c>
      <c r="E909" s="262" t="s">
        <v>758</v>
      </c>
      <c r="F909" s="262">
        <v>0</v>
      </c>
      <c r="G909" s="262">
        <v>0</v>
      </c>
      <c r="H909" s="262">
        <v>1</v>
      </c>
      <c r="I909" s="263">
        <v>938966.58105468703</v>
      </c>
      <c r="J909" s="262" t="s">
        <v>229</v>
      </c>
      <c r="K909" s="262" t="s">
        <v>230</v>
      </c>
      <c r="L909" s="262" t="s">
        <v>80</v>
      </c>
      <c r="M909" s="262" t="s">
        <v>733</v>
      </c>
      <c r="N909" s="262" t="s">
        <v>727</v>
      </c>
      <c r="O909" s="262" t="s">
        <v>11</v>
      </c>
    </row>
    <row r="910" spans="1:15" s="264" customFormat="1" x14ac:dyDescent="0.25">
      <c r="A910" s="262">
        <v>10</v>
      </c>
      <c r="B910" s="262">
        <v>10</v>
      </c>
      <c r="C910" s="262" t="s">
        <v>1047</v>
      </c>
      <c r="D910" s="262">
        <v>4</v>
      </c>
      <c r="E910" s="262" t="s">
        <v>758</v>
      </c>
      <c r="F910" s="262">
        <v>0</v>
      </c>
      <c r="G910" s="262">
        <v>0</v>
      </c>
      <c r="H910" s="262">
        <v>1</v>
      </c>
      <c r="I910" s="263">
        <v>121243.130859375</v>
      </c>
      <c r="J910" s="262" t="s">
        <v>185</v>
      </c>
      <c r="K910" s="262" t="s">
        <v>186</v>
      </c>
      <c r="L910" s="262" t="s">
        <v>80</v>
      </c>
      <c r="M910" s="262" t="s">
        <v>733</v>
      </c>
      <c r="N910" s="262" t="s">
        <v>727</v>
      </c>
      <c r="O910" s="262" t="s">
        <v>11</v>
      </c>
    </row>
    <row r="911" spans="1:15" s="218" customFormat="1" x14ac:dyDescent="0.25">
      <c r="A911" s="265">
        <v>10</v>
      </c>
      <c r="B911" s="265">
        <v>10</v>
      </c>
      <c r="C911" s="265" t="s">
        <v>1047</v>
      </c>
      <c r="D911" s="265">
        <v>4</v>
      </c>
      <c r="E911" s="265" t="s">
        <v>758</v>
      </c>
      <c r="F911" s="265">
        <v>0</v>
      </c>
      <c r="G911" s="265">
        <v>0</v>
      </c>
      <c r="H911" s="265">
        <v>1</v>
      </c>
      <c r="I911" s="266">
        <v>9959.97412109375</v>
      </c>
      <c r="J911" s="265" t="s">
        <v>299</v>
      </c>
      <c r="K911" s="265" t="s">
        <v>300</v>
      </c>
      <c r="L911" s="265" t="s">
        <v>80</v>
      </c>
      <c r="M911" s="265" t="s">
        <v>733</v>
      </c>
      <c r="N911" s="265" t="s">
        <v>728</v>
      </c>
      <c r="O911" s="265" t="s">
        <v>11</v>
      </c>
    </row>
    <row r="912" spans="1:15" s="218" customFormat="1" x14ac:dyDescent="0.25">
      <c r="A912" s="265">
        <v>10</v>
      </c>
      <c r="B912" s="265">
        <v>10</v>
      </c>
      <c r="C912" s="265" t="s">
        <v>1047</v>
      </c>
      <c r="D912" s="265">
        <v>4</v>
      </c>
      <c r="E912" s="265" t="s">
        <v>758</v>
      </c>
      <c r="F912" s="265">
        <v>0</v>
      </c>
      <c r="G912" s="265">
        <v>0</v>
      </c>
      <c r="H912" s="265">
        <v>1</v>
      </c>
      <c r="I912" s="266">
        <v>719064.19824218703</v>
      </c>
      <c r="J912" s="265" t="s">
        <v>341</v>
      </c>
      <c r="K912" s="265" t="s">
        <v>342</v>
      </c>
      <c r="L912" s="265" t="s">
        <v>9</v>
      </c>
      <c r="M912" s="265" t="s">
        <v>10</v>
      </c>
      <c r="N912" s="265" t="s">
        <v>728</v>
      </c>
      <c r="O912" s="265" t="s">
        <v>11</v>
      </c>
    </row>
    <row r="913" spans="1:15" s="264" customFormat="1" x14ac:dyDescent="0.25">
      <c r="A913" s="262">
        <v>10</v>
      </c>
      <c r="B913" s="262">
        <v>10</v>
      </c>
      <c r="C913" s="262" t="s">
        <v>1047</v>
      </c>
      <c r="D913" s="262">
        <v>4</v>
      </c>
      <c r="E913" s="262" t="s">
        <v>758</v>
      </c>
      <c r="F913" s="262">
        <v>0</v>
      </c>
      <c r="G913" s="262">
        <v>0</v>
      </c>
      <c r="H913" s="262">
        <v>1</v>
      </c>
      <c r="I913" s="263">
        <v>135585.45849609299</v>
      </c>
      <c r="J913" s="262" t="s">
        <v>343</v>
      </c>
      <c r="K913" s="262" t="s">
        <v>344</v>
      </c>
      <c r="L913" s="262" t="s">
        <v>227</v>
      </c>
      <c r="M913" s="262" t="s">
        <v>228</v>
      </c>
      <c r="N913" s="262" t="s">
        <v>727</v>
      </c>
      <c r="O913" s="262" t="s">
        <v>11</v>
      </c>
    </row>
    <row r="914" spans="1:15" s="218" customFormat="1" x14ac:dyDescent="0.25">
      <c r="A914" s="265">
        <v>10</v>
      </c>
      <c r="B914" s="265">
        <v>10</v>
      </c>
      <c r="C914" s="265" t="s">
        <v>1047</v>
      </c>
      <c r="D914" s="265">
        <v>4</v>
      </c>
      <c r="E914" s="265" t="s">
        <v>758</v>
      </c>
      <c r="F914" s="265">
        <v>0</v>
      </c>
      <c r="G914" s="265">
        <v>0</v>
      </c>
      <c r="H914" s="265">
        <v>1</v>
      </c>
      <c r="I914" s="266">
        <v>122643.05859375</v>
      </c>
      <c r="J914" s="265" t="s">
        <v>361</v>
      </c>
      <c r="K914" s="265" t="s">
        <v>362</v>
      </c>
      <c r="L914" s="265" t="s">
        <v>33</v>
      </c>
      <c r="M914" s="265" t="s">
        <v>34</v>
      </c>
      <c r="N914" s="265" t="s">
        <v>728</v>
      </c>
      <c r="O914" s="265" t="s">
        <v>11</v>
      </c>
    </row>
    <row r="915" spans="1:15" s="129" customFormat="1" x14ac:dyDescent="0.25">
      <c r="A915" s="130">
        <v>10</v>
      </c>
      <c r="B915" s="130">
        <v>10</v>
      </c>
      <c r="C915" s="130" t="s">
        <v>1047</v>
      </c>
      <c r="D915" s="130">
        <v>4</v>
      </c>
      <c r="E915" s="130" t="s">
        <v>758</v>
      </c>
      <c r="F915" s="130">
        <v>0</v>
      </c>
      <c r="G915" s="130">
        <v>0</v>
      </c>
      <c r="H915" s="130">
        <v>1</v>
      </c>
      <c r="I915" s="131">
        <v>65035.975097656199</v>
      </c>
      <c r="J915" s="130" t="s">
        <v>57</v>
      </c>
      <c r="K915" s="130" t="s">
        <v>58</v>
      </c>
      <c r="L915" s="130" t="s">
        <v>46</v>
      </c>
      <c r="M915" s="130" t="s">
        <v>739</v>
      </c>
      <c r="N915" s="130" t="s">
        <v>15</v>
      </c>
      <c r="O915" s="130" t="s">
        <v>11</v>
      </c>
    </row>
    <row r="916" spans="1:15" s="129" customFormat="1" x14ac:dyDescent="0.25">
      <c r="A916" s="130">
        <v>10</v>
      </c>
      <c r="B916" s="130">
        <v>10</v>
      </c>
      <c r="C916" s="130" t="s">
        <v>1047</v>
      </c>
      <c r="D916" s="130">
        <v>4</v>
      </c>
      <c r="E916" s="130" t="s">
        <v>758</v>
      </c>
      <c r="F916" s="130">
        <v>0</v>
      </c>
      <c r="G916" s="130">
        <v>0</v>
      </c>
      <c r="H916" s="130">
        <v>1</v>
      </c>
      <c r="I916" s="131">
        <v>3248569.2924804599</v>
      </c>
      <c r="J916" s="130" t="s">
        <v>325</v>
      </c>
      <c r="K916" s="130" t="s">
        <v>326</v>
      </c>
      <c r="L916" s="130" t="s">
        <v>80</v>
      </c>
      <c r="M916" s="130" t="s">
        <v>733</v>
      </c>
      <c r="N916" s="130" t="s">
        <v>15</v>
      </c>
      <c r="O916" s="130" t="s">
        <v>11</v>
      </c>
    </row>
    <row r="917" spans="1:15" s="264" customFormat="1" x14ac:dyDescent="0.25">
      <c r="A917" s="262">
        <v>10</v>
      </c>
      <c r="B917" s="262">
        <v>10</v>
      </c>
      <c r="C917" s="262" t="s">
        <v>1047</v>
      </c>
      <c r="D917" s="262">
        <v>4</v>
      </c>
      <c r="E917" s="262" t="s">
        <v>758</v>
      </c>
      <c r="F917" s="262">
        <v>0</v>
      </c>
      <c r="G917" s="262">
        <v>0</v>
      </c>
      <c r="H917" s="262">
        <v>1</v>
      </c>
      <c r="I917" s="263">
        <v>757600.91162109305</v>
      </c>
      <c r="J917" s="262" t="s">
        <v>57</v>
      </c>
      <c r="K917" s="262" t="s">
        <v>58</v>
      </c>
      <c r="L917" s="262" t="s">
        <v>46</v>
      </c>
      <c r="M917" s="262" t="s">
        <v>739</v>
      </c>
      <c r="N917" s="262" t="s">
        <v>727</v>
      </c>
      <c r="O917" s="262" t="s">
        <v>11</v>
      </c>
    </row>
    <row r="918" spans="1:15" s="129" customFormat="1" x14ac:dyDescent="0.25">
      <c r="A918" s="130">
        <v>10</v>
      </c>
      <c r="B918" s="130">
        <v>10</v>
      </c>
      <c r="C918" s="130" t="s">
        <v>1047</v>
      </c>
      <c r="D918" s="130">
        <v>4</v>
      </c>
      <c r="E918" s="130" t="s">
        <v>758</v>
      </c>
      <c r="F918" s="130">
        <v>0</v>
      </c>
      <c r="G918" s="130">
        <v>0</v>
      </c>
      <c r="H918" s="130">
        <v>1</v>
      </c>
      <c r="I918" s="131">
        <v>2511436.8603515602</v>
      </c>
      <c r="J918" s="130" t="s">
        <v>167</v>
      </c>
      <c r="K918" s="130" t="s">
        <v>168</v>
      </c>
      <c r="L918" s="130" t="s">
        <v>33</v>
      </c>
      <c r="M918" s="130" t="s">
        <v>34</v>
      </c>
      <c r="N918" s="130" t="s">
        <v>15</v>
      </c>
      <c r="O918" s="130" t="s">
        <v>11</v>
      </c>
    </row>
    <row r="919" spans="1:15" s="129" customFormat="1" x14ac:dyDescent="0.25">
      <c r="A919" s="130">
        <v>10</v>
      </c>
      <c r="B919" s="130">
        <v>10</v>
      </c>
      <c r="C919" s="130" t="s">
        <v>1047</v>
      </c>
      <c r="D919" s="130">
        <v>4</v>
      </c>
      <c r="E919" s="130" t="s">
        <v>758</v>
      </c>
      <c r="F919" s="130">
        <v>0</v>
      </c>
      <c r="G919" s="130">
        <v>0</v>
      </c>
      <c r="H919" s="130">
        <v>1</v>
      </c>
      <c r="I919" s="131">
        <v>173680.04345703099</v>
      </c>
      <c r="J919" s="130" t="s">
        <v>393</v>
      </c>
      <c r="K919" s="130" t="s">
        <v>394</v>
      </c>
      <c r="L919" s="130" t="s">
        <v>18</v>
      </c>
      <c r="M919" s="130" t="s">
        <v>19</v>
      </c>
      <c r="N919" s="130" t="s">
        <v>15</v>
      </c>
      <c r="O919" s="130" t="s">
        <v>11</v>
      </c>
    </row>
    <row r="920" spans="1:15" s="218" customFormat="1" x14ac:dyDescent="0.25">
      <c r="A920" s="265">
        <v>10</v>
      </c>
      <c r="B920" s="265">
        <v>10</v>
      </c>
      <c r="C920" s="265" t="s">
        <v>1047</v>
      </c>
      <c r="D920" s="265">
        <v>4</v>
      </c>
      <c r="E920" s="265" t="s">
        <v>758</v>
      </c>
      <c r="F920" s="265">
        <v>0</v>
      </c>
      <c r="G920" s="265">
        <v>0</v>
      </c>
      <c r="H920" s="265">
        <v>1</v>
      </c>
      <c r="I920" s="266">
        <v>296062.978515625</v>
      </c>
      <c r="J920" s="265" t="s">
        <v>126</v>
      </c>
      <c r="K920" s="265" t="s">
        <v>127</v>
      </c>
      <c r="L920" s="265" t="s">
        <v>9</v>
      </c>
      <c r="M920" s="265" t="s">
        <v>10</v>
      </c>
      <c r="N920" s="265" t="s">
        <v>728</v>
      </c>
      <c r="O920" s="265" t="s">
        <v>11</v>
      </c>
    </row>
    <row r="921" spans="1:15" s="264" customFormat="1" x14ac:dyDescent="0.25">
      <c r="A921" s="262">
        <v>10</v>
      </c>
      <c r="B921" s="262">
        <v>10</v>
      </c>
      <c r="C921" s="262" t="s">
        <v>1047</v>
      </c>
      <c r="D921" s="262">
        <v>4</v>
      </c>
      <c r="E921" s="262" t="s">
        <v>758</v>
      </c>
      <c r="F921" s="262">
        <v>0</v>
      </c>
      <c r="G921" s="262">
        <v>0</v>
      </c>
      <c r="H921" s="262">
        <v>1</v>
      </c>
      <c r="I921" s="263">
        <v>1609725.4086914</v>
      </c>
      <c r="J921" s="262" t="s">
        <v>412</v>
      </c>
      <c r="K921" s="262" t="s">
        <v>413</v>
      </c>
      <c r="L921" s="262" t="s">
        <v>227</v>
      </c>
      <c r="M921" s="262" t="s">
        <v>228</v>
      </c>
      <c r="N921" s="262" t="s">
        <v>727</v>
      </c>
      <c r="O921" s="262" t="s">
        <v>11</v>
      </c>
    </row>
    <row r="922" spans="1:15" s="218" customFormat="1" x14ac:dyDescent="0.25">
      <c r="A922" s="265">
        <v>10</v>
      </c>
      <c r="B922" s="265">
        <v>10</v>
      </c>
      <c r="C922" s="265" t="s">
        <v>1047</v>
      </c>
      <c r="D922" s="265">
        <v>4</v>
      </c>
      <c r="E922" s="265" t="s">
        <v>758</v>
      </c>
      <c r="F922" s="265">
        <v>0</v>
      </c>
      <c r="G922" s="265">
        <v>0</v>
      </c>
      <c r="H922" s="265">
        <v>1</v>
      </c>
      <c r="I922" s="266">
        <v>7770114.0361328097</v>
      </c>
      <c r="J922" s="265" t="s">
        <v>414</v>
      </c>
      <c r="K922" s="265" t="s">
        <v>415</v>
      </c>
      <c r="L922" s="265" t="s">
        <v>80</v>
      </c>
      <c r="M922" s="265" t="s">
        <v>733</v>
      </c>
      <c r="N922" s="265" t="s">
        <v>728</v>
      </c>
      <c r="O922" s="265" t="s">
        <v>11</v>
      </c>
    </row>
    <row r="923" spans="1:15" s="129" customFormat="1" x14ac:dyDescent="0.25">
      <c r="A923" s="130">
        <v>10</v>
      </c>
      <c r="B923" s="130">
        <v>10</v>
      </c>
      <c r="C923" s="130" t="s">
        <v>1047</v>
      </c>
      <c r="D923" s="130">
        <v>4</v>
      </c>
      <c r="E923" s="130" t="s">
        <v>758</v>
      </c>
      <c r="F923" s="130">
        <v>0</v>
      </c>
      <c r="G923" s="130">
        <v>0</v>
      </c>
      <c r="H923" s="130">
        <v>1</v>
      </c>
      <c r="I923" s="131">
        <v>1085596.3823242099</v>
      </c>
      <c r="J923" s="130" t="s">
        <v>36</v>
      </c>
      <c r="K923" s="130" t="s">
        <v>37</v>
      </c>
      <c r="L923" s="130" t="s">
        <v>9</v>
      </c>
      <c r="M923" s="130" t="s">
        <v>10</v>
      </c>
      <c r="N923" s="130" t="s">
        <v>15</v>
      </c>
      <c r="O923" s="130" t="s">
        <v>11</v>
      </c>
    </row>
    <row r="924" spans="1:15" s="129" customFormat="1" x14ac:dyDescent="0.25">
      <c r="A924" s="130">
        <v>10</v>
      </c>
      <c r="B924" s="130">
        <v>10</v>
      </c>
      <c r="C924" s="130" t="s">
        <v>1047</v>
      </c>
      <c r="D924" s="130">
        <v>4</v>
      </c>
      <c r="E924" s="130" t="s">
        <v>758</v>
      </c>
      <c r="F924" s="130">
        <v>0</v>
      </c>
      <c r="G924" s="130">
        <v>0</v>
      </c>
      <c r="H924" s="130">
        <v>1</v>
      </c>
      <c r="I924" s="131">
        <v>11311987.8666992</v>
      </c>
      <c r="J924" s="130" t="s">
        <v>412</v>
      </c>
      <c r="K924" s="130" t="s">
        <v>413</v>
      </c>
      <c r="L924" s="130" t="s">
        <v>227</v>
      </c>
      <c r="M924" s="130" t="s">
        <v>228</v>
      </c>
      <c r="N924" s="130" t="s">
        <v>15</v>
      </c>
      <c r="O924" s="130" t="s">
        <v>11</v>
      </c>
    </row>
    <row r="925" spans="1:15" s="264" customFormat="1" x14ac:dyDescent="0.25">
      <c r="A925" s="262">
        <v>10</v>
      </c>
      <c r="B925" s="262">
        <v>10</v>
      </c>
      <c r="C925" s="262" t="s">
        <v>1047</v>
      </c>
      <c r="D925" s="262">
        <v>4</v>
      </c>
      <c r="E925" s="262" t="s">
        <v>758</v>
      </c>
      <c r="F925" s="262">
        <v>0</v>
      </c>
      <c r="G925" s="262">
        <v>0</v>
      </c>
      <c r="H925" s="262">
        <v>1</v>
      </c>
      <c r="I925" s="263">
        <v>1246556.0122070301</v>
      </c>
      <c r="J925" s="262" t="s">
        <v>434</v>
      </c>
      <c r="K925" s="262" t="s">
        <v>435</v>
      </c>
      <c r="L925" s="262" t="s">
        <v>80</v>
      </c>
      <c r="M925" s="262" t="s">
        <v>733</v>
      </c>
      <c r="N925" s="262" t="s">
        <v>727</v>
      </c>
      <c r="O925" s="262" t="s">
        <v>11</v>
      </c>
    </row>
    <row r="926" spans="1:15" s="218" customFormat="1" x14ac:dyDescent="0.25">
      <c r="A926" s="265">
        <v>10</v>
      </c>
      <c r="B926" s="265">
        <v>10</v>
      </c>
      <c r="C926" s="265" t="s">
        <v>1047</v>
      </c>
      <c r="D926" s="265">
        <v>4</v>
      </c>
      <c r="E926" s="265" t="s">
        <v>758</v>
      </c>
      <c r="F926" s="265">
        <v>0</v>
      </c>
      <c r="G926" s="265">
        <v>0</v>
      </c>
      <c r="H926" s="265">
        <v>1</v>
      </c>
      <c r="I926" s="266">
        <v>56552.580078125</v>
      </c>
      <c r="J926" s="265" t="s">
        <v>438</v>
      </c>
      <c r="K926" s="265" t="s">
        <v>439</v>
      </c>
      <c r="L926" s="265" t="s">
        <v>9</v>
      </c>
      <c r="M926" s="265" t="s">
        <v>10</v>
      </c>
      <c r="N926" s="265" t="s">
        <v>728</v>
      </c>
      <c r="O926" s="265" t="s">
        <v>11</v>
      </c>
    </row>
    <row r="927" spans="1:15" s="129" customFormat="1" x14ac:dyDescent="0.25">
      <c r="A927" s="130">
        <v>10</v>
      </c>
      <c r="B927" s="130">
        <v>10</v>
      </c>
      <c r="C927" s="130" t="s">
        <v>1047</v>
      </c>
      <c r="D927" s="130">
        <v>4</v>
      </c>
      <c r="E927" s="130" t="s">
        <v>758</v>
      </c>
      <c r="F927" s="130">
        <v>0</v>
      </c>
      <c r="G927" s="130">
        <v>0</v>
      </c>
      <c r="H927" s="130">
        <v>1</v>
      </c>
      <c r="I927" s="131">
        <v>670485.21875</v>
      </c>
      <c r="J927" s="130" t="s">
        <v>229</v>
      </c>
      <c r="K927" s="130" t="s">
        <v>230</v>
      </c>
      <c r="L927" s="130" t="s">
        <v>80</v>
      </c>
      <c r="M927" s="130" t="s">
        <v>733</v>
      </c>
      <c r="N927" s="130" t="s">
        <v>15</v>
      </c>
      <c r="O927" s="130" t="s">
        <v>11</v>
      </c>
    </row>
    <row r="928" spans="1:15" s="129" customFormat="1" x14ac:dyDescent="0.25">
      <c r="A928" s="130">
        <v>10</v>
      </c>
      <c r="B928" s="130">
        <v>10</v>
      </c>
      <c r="C928" s="130" t="s">
        <v>1047</v>
      </c>
      <c r="D928" s="130">
        <v>4</v>
      </c>
      <c r="E928" s="130" t="s">
        <v>758</v>
      </c>
      <c r="F928" s="130">
        <v>0</v>
      </c>
      <c r="G928" s="130">
        <v>0</v>
      </c>
      <c r="H928" s="130">
        <v>1</v>
      </c>
      <c r="I928" s="131">
        <v>9675399.2543945294</v>
      </c>
      <c r="J928" s="130" t="s">
        <v>414</v>
      </c>
      <c r="K928" s="130" t="s">
        <v>415</v>
      </c>
      <c r="L928" s="130" t="s">
        <v>80</v>
      </c>
      <c r="M928" s="130" t="s">
        <v>733</v>
      </c>
      <c r="N928" s="130" t="s">
        <v>15</v>
      </c>
      <c r="O928" s="130" t="s">
        <v>11</v>
      </c>
    </row>
    <row r="929" spans="1:15" s="218" customFormat="1" x14ac:dyDescent="0.25">
      <c r="A929" s="265">
        <v>10</v>
      </c>
      <c r="B929" s="265">
        <v>10</v>
      </c>
      <c r="C929" s="265" t="s">
        <v>1047</v>
      </c>
      <c r="D929" s="265">
        <v>4</v>
      </c>
      <c r="E929" s="265" t="s">
        <v>758</v>
      </c>
      <c r="F929" s="265">
        <v>0</v>
      </c>
      <c r="G929" s="265">
        <v>0</v>
      </c>
      <c r="H929" s="265">
        <v>1</v>
      </c>
      <c r="I929" s="266">
        <v>824572.91650390602</v>
      </c>
      <c r="J929" s="265" t="s">
        <v>323</v>
      </c>
      <c r="K929" s="265" t="s">
        <v>324</v>
      </c>
      <c r="L929" s="265" t="s">
        <v>80</v>
      </c>
      <c r="M929" s="265" t="s">
        <v>733</v>
      </c>
      <c r="N929" s="265" t="s">
        <v>728</v>
      </c>
      <c r="O929" s="265" t="s">
        <v>11</v>
      </c>
    </row>
    <row r="930" spans="1:15" s="218" customFormat="1" x14ac:dyDescent="0.25">
      <c r="A930" s="265">
        <v>10</v>
      </c>
      <c r="B930" s="265">
        <v>10</v>
      </c>
      <c r="C930" s="265" t="s">
        <v>1047</v>
      </c>
      <c r="D930" s="265">
        <v>4</v>
      </c>
      <c r="E930" s="265" t="s">
        <v>758</v>
      </c>
      <c r="F930" s="265">
        <v>0</v>
      </c>
      <c r="G930" s="265">
        <v>0</v>
      </c>
      <c r="H930" s="265">
        <v>1</v>
      </c>
      <c r="I930" s="266">
        <v>719258.58105468703</v>
      </c>
      <c r="J930" s="265" t="s">
        <v>167</v>
      </c>
      <c r="K930" s="265" t="s">
        <v>168</v>
      </c>
      <c r="L930" s="265" t="s">
        <v>33</v>
      </c>
      <c r="M930" s="265" t="s">
        <v>34</v>
      </c>
      <c r="N930" s="265" t="s">
        <v>728</v>
      </c>
      <c r="O930" s="265" t="s">
        <v>11</v>
      </c>
    </row>
    <row r="931" spans="1:15" s="218" customFormat="1" x14ac:dyDescent="0.25">
      <c r="A931" s="265">
        <v>10</v>
      </c>
      <c r="B931" s="265">
        <v>10</v>
      </c>
      <c r="C931" s="265" t="s">
        <v>1047</v>
      </c>
      <c r="D931" s="265">
        <v>4</v>
      </c>
      <c r="E931" s="265" t="s">
        <v>758</v>
      </c>
      <c r="F931" s="265">
        <v>0</v>
      </c>
      <c r="G931" s="265">
        <v>0</v>
      </c>
      <c r="H931" s="265">
        <v>1</v>
      </c>
      <c r="I931" s="266">
        <v>844391.10644531203</v>
      </c>
      <c r="J931" s="265" t="s">
        <v>412</v>
      </c>
      <c r="K931" s="265" t="s">
        <v>413</v>
      </c>
      <c r="L931" s="265" t="s">
        <v>227</v>
      </c>
      <c r="M931" s="265" t="s">
        <v>228</v>
      </c>
      <c r="N931" s="265" t="s">
        <v>728</v>
      </c>
      <c r="O931" s="265" t="s">
        <v>11</v>
      </c>
    </row>
    <row r="932" spans="1:15" s="218" customFormat="1" x14ac:dyDescent="0.25">
      <c r="A932" s="265">
        <v>10</v>
      </c>
      <c r="B932" s="265">
        <v>10</v>
      </c>
      <c r="C932" s="265" t="s">
        <v>1047</v>
      </c>
      <c r="D932" s="265">
        <v>4</v>
      </c>
      <c r="E932" s="265" t="s">
        <v>758</v>
      </c>
      <c r="F932" s="265">
        <v>0</v>
      </c>
      <c r="G932" s="265">
        <v>0</v>
      </c>
      <c r="H932" s="265">
        <v>1</v>
      </c>
      <c r="I932" s="266">
        <v>724064.99560546805</v>
      </c>
      <c r="J932" s="265" t="s">
        <v>478</v>
      </c>
      <c r="K932" s="265" t="s">
        <v>479</v>
      </c>
      <c r="L932" s="265" t="s">
        <v>80</v>
      </c>
      <c r="M932" s="265" t="s">
        <v>733</v>
      </c>
      <c r="N932" s="265" t="s">
        <v>728</v>
      </c>
      <c r="O932" s="265" t="s">
        <v>11</v>
      </c>
    </row>
    <row r="933" spans="1:15" s="129" customFormat="1" x14ac:dyDescent="0.25">
      <c r="A933" s="130">
        <v>10</v>
      </c>
      <c r="B933" s="130">
        <v>10</v>
      </c>
      <c r="C933" s="130" t="s">
        <v>1047</v>
      </c>
      <c r="D933" s="130">
        <v>4</v>
      </c>
      <c r="E933" s="130" t="s">
        <v>758</v>
      </c>
      <c r="F933" s="130">
        <v>0</v>
      </c>
      <c r="G933" s="130">
        <v>0</v>
      </c>
      <c r="H933" s="130">
        <v>1</v>
      </c>
      <c r="I933" s="131">
        <v>839333.37255859305</v>
      </c>
      <c r="J933" s="130" t="s">
        <v>484</v>
      </c>
      <c r="K933" s="130" t="s">
        <v>485</v>
      </c>
      <c r="L933" s="130" t="s">
        <v>80</v>
      </c>
      <c r="M933" s="130" t="s">
        <v>733</v>
      </c>
      <c r="N933" s="130" t="s">
        <v>15</v>
      </c>
      <c r="O933" s="130" t="s">
        <v>11</v>
      </c>
    </row>
    <row r="934" spans="1:15" s="264" customFormat="1" x14ac:dyDescent="0.25">
      <c r="A934" s="262">
        <v>10</v>
      </c>
      <c r="B934" s="262">
        <v>10</v>
      </c>
      <c r="C934" s="262" t="s">
        <v>1047</v>
      </c>
      <c r="D934" s="262">
        <v>4</v>
      </c>
      <c r="E934" s="262" t="s">
        <v>758</v>
      </c>
      <c r="F934" s="262">
        <v>0</v>
      </c>
      <c r="G934" s="262">
        <v>0</v>
      </c>
      <c r="H934" s="262">
        <v>1</v>
      </c>
      <c r="I934" s="263">
        <v>15981954.765625</v>
      </c>
      <c r="J934" s="262" t="s">
        <v>414</v>
      </c>
      <c r="K934" s="262" t="s">
        <v>415</v>
      </c>
      <c r="L934" s="262" t="s">
        <v>80</v>
      </c>
      <c r="M934" s="262" t="s">
        <v>733</v>
      </c>
      <c r="N934" s="262" t="s">
        <v>727</v>
      </c>
      <c r="O934" s="262" t="s">
        <v>11</v>
      </c>
    </row>
    <row r="935" spans="1:15" s="129" customFormat="1" x14ac:dyDescent="0.25">
      <c r="A935" s="130">
        <v>10</v>
      </c>
      <c r="B935" s="130">
        <v>10</v>
      </c>
      <c r="C935" s="130" t="s">
        <v>1047</v>
      </c>
      <c r="D935" s="130">
        <v>4</v>
      </c>
      <c r="E935" s="130" t="s">
        <v>758</v>
      </c>
      <c r="F935" s="130">
        <v>0</v>
      </c>
      <c r="G935" s="130">
        <v>0</v>
      </c>
      <c r="H935" s="130">
        <v>1</v>
      </c>
      <c r="I935" s="131">
        <v>2524169.9633789002</v>
      </c>
      <c r="J935" s="130" t="s">
        <v>305</v>
      </c>
      <c r="K935" s="130" t="s">
        <v>306</v>
      </c>
      <c r="L935" s="130" t="s">
        <v>80</v>
      </c>
      <c r="M935" s="130" t="s">
        <v>733</v>
      </c>
      <c r="N935" s="130" t="s">
        <v>15</v>
      </c>
      <c r="O935" s="130" t="s">
        <v>11</v>
      </c>
    </row>
    <row r="936" spans="1:15" s="264" customFormat="1" x14ac:dyDescent="0.25">
      <c r="A936" s="262">
        <v>10</v>
      </c>
      <c r="B936" s="262">
        <v>10</v>
      </c>
      <c r="C936" s="262" t="s">
        <v>1047</v>
      </c>
      <c r="D936" s="262">
        <v>4</v>
      </c>
      <c r="E936" s="262" t="s">
        <v>758</v>
      </c>
      <c r="F936" s="262">
        <v>0</v>
      </c>
      <c r="G936" s="262">
        <v>0</v>
      </c>
      <c r="H936" s="262">
        <v>1</v>
      </c>
      <c r="I936" s="263">
        <v>1187805.15478515</v>
      </c>
      <c r="J936" s="262" t="s">
        <v>498</v>
      </c>
      <c r="K936" s="262" t="s">
        <v>499</v>
      </c>
      <c r="L936" s="262" t="s">
        <v>33</v>
      </c>
      <c r="M936" s="262" t="s">
        <v>34</v>
      </c>
      <c r="N936" s="262" t="s">
        <v>727</v>
      </c>
      <c r="O936" s="262" t="s">
        <v>11</v>
      </c>
    </row>
    <row r="937" spans="1:15" s="264" customFormat="1" x14ac:dyDescent="0.25">
      <c r="A937" s="262">
        <v>10</v>
      </c>
      <c r="B937" s="262">
        <v>10</v>
      </c>
      <c r="C937" s="262" t="s">
        <v>1047</v>
      </c>
      <c r="D937" s="262">
        <v>4</v>
      </c>
      <c r="E937" s="262" t="s">
        <v>758</v>
      </c>
      <c r="F937" s="262">
        <v>0</v>
      </c>
      <c r="G937" s="262">
        <v>0</v>
      </c>
      <c r="H937" s="262">
        <v>1</v>
      </c>
      <c r="I937" s="263">
        <v>1211216.86328125</v>
      </c>
      <c r="J937" s="262" t="s">
        <v>59</v>
      </c>
      <c r="K937" s="262" t="s">
        <v>60</v>
      </c>
      <c r="L937" s="262" t="s">
        <v>9</v>
      </c>
      <c r="M937" s="262" t="s">
        <v>10</v>
      </c>
      <c r="N937" s="262" t="s">
        <v>727</v>
      </c>
      <c r="O937" s="262" t="s">
        <v>11</v>
      </c>
    </row>
    <row r="938" spans="1:15" s="264" customFormat="1" x14ac:dyDescent="0.25">
      <c r="A938" s="262">
        <v>10</v>
      </c>
      <c r="B938" s="262">
        <v>10</v>
      </c>
      <c r="C938" s="262" t="s">
        <v>1047</v>
      </c>
      <c r="D938" s="262">
        <v>4</v>
      </c>
      <c r="E938" s="262" t="s">
        <v>758</v>
      </c>
      <c r="F938" s="262">
        <v>0</v>
      </c>
      <c r="G938" s="262">
        <v>0</v>
      </c>
      <c r="H938" s="262">
        <v>1</v>
      </c>
      <c r="I938" s="263">
        <v>1779099.0932617099</v>
      </c>
      <c r="J938" s="262" t="s">
        <v>7</v>
      </c>
      <c r="K938" s="262" t="s">
        <v>8</v>
      </c>
      <c r="L938" s="262" t="s">
        <v>9</v>
      </c>
      <c r="M938" s="262" t="s">
        <v>10</v>
      </c>
      <c r="N938" s="262" t="s">
        <v>727</v>
      </c>
      <c r="O938" s="262" t="s">
        <v>11</v>
      </c>
    </row>
    <row r="939" spans="1:15" s="129" customFormat="1" x14ac:dyDescent="0.25">
      <c r="A939" s="130">
        <v>10</v>
      </c>
      <c r="B939" s="130">
        <v>10</v>
      </c>
      <c r="C939" s="130" t="s">
        <v>1047</v>
      </c>
      <c r="D939" s="130">
        <v>4</v>
      </c>
      <c r="E939" s="130" t="s">
        <v>758</v>
      </c>
      <c r="F939" s="130">
        <v>0</v>
      </c>
      <c r="G939" s="130">
        <v>0</v>
      </c>
      <c r="H939" s="130">
        <v>1</v>
      </c>
      <c r="I939" s="131">
        <v>287680.423828125</v>
      </c>
      <c r="J939" s="130" t="s">
        <v>507</v>
      </c>
      <c r="K939" s="130" t="s">
        <v>508</v>
      </c>
      <c r="L939" s="130" t="s">
        <v>80</v>
      </c>
      <c r="M939" s="130" t="s">
        <v>733</v>
      </c>
      <c r="N939" s="130" t="s">
        <v>15</v>
      </c>
      <c r="O939" s="130" t="s">
        <v>11</v>
      </c>
    </row>
    <row r="940" spans="1:15" s="278" customFormat="1" x14ac:dyDescent="0.25">
      <c r="A940" s="276">
        <v>10</v>
      </c>
      <c r="B940" s="276">
        <v>10</v>
      </c>
      <c r="C940" s="276" t="s">
        <v>1047</v>
      </c>
      <c r="D940" s="276">
        <v>4</v>
      </c>
      <c r="E940" s="276" t="s">
        <v>758</v>
      </c>
      <c r="F940" s="276">
        <v>0</v>
      </c>
      <c r="G940" s="276">
        <v>0</v>
      </c>
      <c r="H940" s="276">
        <v>1</v>
      </c>
      <c r="I940" s="277">
        <v>62.63525390625</v>
      </c>
      <c r="J940" s="276" t="s">
        <v>323</v>
      </c>
      <c r="K940" s="276" t="s">
        <v>324</v>
      </c>
      <c r="L940" s="276" t="s">
        <v>80</v>
      </c>
      <c r="M940" s="276" t="s">
        <v>733</v>
      </c>
      <c r="N940" s="276" t="s">
        <v>729</v>
      </c>
      <c r="O940" s="276" t="s">
        <v>11</v>
      </c>
    </row>
    <row r="941" spans="1:15" s="264" customFormat="1" x14ac:dyDescent="0.25">
      <c r="A941" s="262">
        <v>10</v>
      </c>
      <c r="B941" s="262">
        <v>10</v>
      </c>
      <c r="C941" s="262" t="s">
        <v>1047</v>
      </c>
      <c r="D941" s="262">
        <v>4</v>
      </c>
      <c r="E941" s="262" t="s">
        <v>758</v>
      </c>
      <c r="F941" s="262">
        <v>0</v>
      </c>
      <c r="G941" s="262">
        <v>0</v>
      </c>
      <c r="H941" s="262">
        <v>1</v>
      </c>
      <c r="I941" s="263">
        <v>379158.13183593698</v>
      </c>
      <c r="J941" s="262" t="s">
        <v>173</v>
      </c>
      <c r="K941" s="262" t="s">
        <v>174</v>
      </c>
      <c r="L941" s="262" t="s">
        <v>9</v>
      </c>
      <c r="M941" s="262" t="s">
        <v>10</v>
      </c>
      <c r="N941" s="262" t="s">
        <v>727</v>
      </c>
      <c r="O941" s="262" t="s">
        <v>11</v>
      </c>
    </row>
    <row r="942" spans="1:15" s="129" customFormat="1" x14ac:dyDescent="0.25">
      <c r="A942" s="130">
        <v>10</v>
      </c>
      <c r="B942" s="130">
        <v>10</v>
      </c>
      <c r="C942" s="130" t="s">
        <v>1047</v>
      </c>
      <c r="D942" s="130">
        <v>4</v>
      </c>
      <c r="E942" s="130" t="s">
        <v>758</v>
      </c>
      <c r="F942" s="130">
        <v>0</v>
      </c>
      <c r="G942" s="130">
        <v>0</v>
      </c>
      <c r="H942" s="130">
        <v>1</v>
      </c>
      <c r="I942" s="131">
        <v>23770409.861328099</v>
      </c>
      <c r="J942" s="130" t="s">
        <v>225</v>
      </c>
      <c r="K942" s="130" t="s">
        <v>226</v>
      </c>
      <c r="L942" s="130" t="s">
        <v>227</v>
      </c>
      <c r="M942" s="130" t="s">
        <v>228</v>
      </c>
      <c r="N942" s="130" t="s">
        <v>15</v>
      </c>
      <c r="O942" s="130" t="s">
        <v>11</v>
      </c>
    </row>
    <row r="943" spans="1:15" s="129" customFormat="1" x14ac:dyDescent="0.25">
      <c r="A943" s="130">
        <v>10</v>
      </c>
      <c r="B943" s="130">
        <v>10</v>
      </c>
      <c r="C943" s="130" t="s">
        <v>1047</v>
      </c>
      <c r="D943" s="130">
        <v>4</v>
      </c>
      <c r="E943" s="130" t="s">
        <v>758</v>
      </c>
      <c r="F943" s="130">
        <v>0</v>
      </c>
      <c r="G943" s="130">
        <v>0</v>
      </c>
      <c r="H943" s="130">
        <v>1</v>
      </c>
      <c r="I943" s="131">
        <v>782056.208984375</v>
      </c>
      <c r="J943" s="130" t="s">
        <v>223</v>
      </c>
      <c r="K943" s="130" t="s">
        <v>224</v>
      </c>
      <c r="L943" s="130" t="s">
        <v>80</v>
      </c>
      <c r="M943" s="130" t="s">
        <v>733</v>
      </c>
      <c r="N943" s="130" t="s">
        <v>15</v>
      </c>
      <c r="O943" s="130" t="s">
        <v>11</v>
      </c>
    </row>
    <row r="944" spans="1:15" s="264" customFormat="1" x14ac:dyDescent="0.25">
      <c r="A944" s="262">
        <v>10</v>
      </c>
      <c r="B944" s="262">
        <v>10</v>
      </c>
      <c r="C944" s="262" t="s">
        <v>1047</v>
      </c>
      <c r="D944" s="262">
        <v>4</v>
      </c>
      <c r="E944" s="262" t="s">
        <v>758</v>
      </c>
      <c r="F944" s="262">
        <v>0</v>
      </c>
      <c r="G944" s="262">
        <v>0</v>
      </c>
      <c r="H944" s="262">
        <v>1</v>
      </c>
      <c r="I944" s="263">
        <v>4584629.94677734</v>
      </c>
      <c r="J944" s="262" t="s">
        <v>305</v>
      </c>
      <c r="K944" s="262" t="s">
        <v>306</v>
      </c>
      <c r="L944" s="262" t="s">
        <v>80</v>
      </c>
      <c r="M944" s="262" t="s">
        <v>733</v>
      </c>
      <c r="N944" s="262" t="s">
        <v>727</v>
      </c>
      <c r="O944" s="262" t="s">
        <v>11</v>
      </c>
    </row>
    <row r="945" spans="1:15" s="129" customFormat="1" x14ac:dyDescent="0.25">
      <c r="A945" s="130">
        <v>10</v>
      </c>
      <c r="B945" s="130">
        <v>10</v>
      </c>
      <c r="C945" s="130" t="s">
        <v>1047</v>
      </c>
      <c r="D945" s="130">
        <v>4</v>
      </c>
      <c r="E945" s="130" t="s">
        <v>758</v>
      </c>
      <c r="F945" s="130">
        <v>0</v>
      </c>
      <c r="G945" s="130">
        <v>0</v>
      </c>
      <c r="H945" s="130">
        <v>1</v>
      </c>
      <c r="I945" s="131">
        <v>1249539.8666992099</v>
      </c>
      <c r="J945" s="130" t="s">
        <v>519</v>
      </c>
      <c r="K945" s="130" t="s">
        <v>520</v>
      </c>
      <c r="L945" s="130" t="s">
        <v>80</v>
      </c>
      <c r="M945" s="130" t="s">
        <v>733</v>
      </c>
      <c r="N945" s="130" t="s">
        <v>15</v>
      </c>
      <c r="O945" s="130" t="s">
        <v>11</v>
      </c>
    </row>
    <row r="946" spans="1:15" s="129" customFormat="1" x14ac:dyDescent="0.25">
      <c r="A946" s="130">
        <v>10</v>
      </c>
      <c r="B946" s="130">
        <v>10</v>
      </c>
      <c r="C946" s="130" t="s">
        <v>1047</v>
      </c>
      <c r="D946" s="130">
        <v>4</v>
      </c>
      <c r="E946" s="130" t="s">
        <v>758</v>
      </c>
      <c r="F946" s="130">
        <v>0</v>
      </c>
      <c r="G946" s="130">
        <v>0</v>
      </c>
      <c r="H946" s="130">
        <v>1</v>
      </c>
      <c r="I946" s="131">
        <v>571150.88183593703</v>
      </c>
      <c r="J946" s="130" t="s">
        <v>185</v>
      </c>
      <c r="K946" s="130" t="s">
        <v>186</v>
      </c>
      <c r="L946" s="130" t="s">
        <v>80</v>
      </c>
      <c r="M946" s="130" t="s">
        <v>733</v>
      </c>
      <c r="N946" s="130" t="s">
        <v>15</v>
      </c>
      <c r="O946" s="130" t="s">
        <v>11</v>
      </c>
    </row>
    <row r="947" spans="1:15" s="218" customFormat="1" x14ac:dyDescent="0.25">
      <c r="A947" s="265">
        <v>10</v>
      </c>
      <c r="B947" s="265">
        <v>10</v>
      </c>
      <c r="C947" s="265" t="s">
        <v>1047</v>
      </c>
      <c r="D947" s="265">
        <v>4</v>
      </c>
      <c r="E947" s="265" t="s">
        <v>758</v>
      </c>
      <c r="F947" s="265">
        <v>0</v>
      </c>
      <c r="G947" s="265">
        <v>0</v>
      </c>
      <c r="H947" s="265">
        <v>1</v>
      </c>
      <c r="I947" s="266">
        <v>1142428.6137695301</v>
      </c>
      <c r="J947" s="265" t="s">
        <v>305</v>
      </c>
      <c r="K947" s="265" t="s">
        <v>306</v>
      </c>
      <c r="L947" s="265" t="s">
        <v>80</v>
      </c>
      <c r="M947" s="265" t="s">
        <v>733</v>
      </c>
      <c r="N947" s="265" t="s">
        <v>728</v>
      </c>
      <c r="O947" s="265" t="s">
        <v>11</v>
      </c>
    </row>
    <row r="948" spans="1:15" s="218" customFormat="1" x14ac:dyDescent="0.25">
      <c r="A948" s="265">
        <v>10</v>
      </c>
      <c r="B948" s="265">
        <v>10</v>
      </c>
      <c r="C948" s="265" t="s">
        <v>1047</v>
      </c>
      <c r="D948" s="265">
        <v>4</v>
      </c>
      <c r="E948" s="265" t="s">
        <v>758</v>
      </c>
      <c r="F948" s="265">
        <v>0</v>
      </c>
      <c r="G948" s="265">
        <v>0</v>
      </c>
      <c r="H948" s="265">
        <v>1</v>
      </c>
      <c r="I948" s="266">
        <v>2570136.7729492099</v>
      </c>
      <c r="J948" s="265" t="s">
        <v>44</v>
      </c>
      <c r="K948" s="265" t="s">
        <v>45</v>
      </c>
      <c r="L948" s="265" t="s">
        <v>46</v>
      </c>
      <c r="M948" s="265" t="s">
        <v>739</v>
      </c>
      <c r="N948" s="265" t="s">
        <v>728</v>
      </c>
      <c r="O948" s="265" t="s">
        <v>11</v>
      </c>
    </row>
    <row r="949" spans="1:15" s="129" customFormat="1" x14ac:dyDescent="0.25">
      <c r="A949" s="130">
        <v>10</v>
      </c>
      <c r="B949" s="130">
        <v>10</v>
      </c>
      <c r="C949" s="130" t="s">
        <v>1047</v>
      </c>
      <c r="D949" s="130">
        <v>4</v>
      </c>
      <c r="E949" s="130" t="s">
        <v>758</v>
      </c>
      <c r="F949" s="130">
        <v>0</v>
      </c>
      <c r="G949" s="130">
        <v>0</v>
      </c>
      <c r="H949" s="130">
        <v>1</v>
      </c>
      <c r="I949" s="131">
        <v>2095451.3808593701</v>
      </c>
      <c r="J949" s="130" t="s">
        <v>7</v>
      </c>
      <c r="K949" s="130" t="s">
        <v>8</v>
      </c>
      <c r="L949" s="130" t="s">
        <v>9</v>
      </c>
      <c r="M949" s="130" t="s">
        <v>10</v>
      </c>
      <c r="N949" s="130" t="s">
        <v>15</v>
      </c>
      <c r="O949" s="130" t="s">
        <v>11</v>
      </c>
    </row>
    <row r="950" spans="1:15" s="129" customFormat="1" x14ac:dyDescent="0.25">
      <c r="A950" s="130">
        <v>10</v>
      </c>
      <c r="B950" s="130">
        <v>10</v>
      </c>
      <c r="C950" s="130" t="s">
        <v>1047</v>
      </c>
      <c r="D950" s="130">
        <v>4</v>
      </c>
      <c r="E950" s="130" t="s">
        <v>758</v>
      </c>
      <c r="F950" s="130">
        <v>0</v>
      </c>
      <c r="G950" s="130">
        <v>0</v>
      </c>
      <c r="H950" s="130">
        <v>1</v>
      </c>
      <c r="I950" s="131">
        <v>2351239.47802734</v>
      </c>
      <c r="J950" s="130" t="s">
        <v>343</v>
      </c>
      <c r="K950" s="130" t="s">
        <v>344</v>
      </c>
      <c r="L950" s="130" t="s">
        <v>227</v>
      </c>
      <c r="M950" s="130" t="s">
        <v>228</v>
      </c>
      <c r="N950" s="130" t="s">
        <v>15</v>
      </c>
      <c r="O950" s="130" t="s">
        <v>11</v>
      </c>
    </row>
    <row r="951" spans="1:15" s="264" customFormat="1" x14ac:dyDescent="0.25">
      <c r="A951" s="262">
        <v>10</v>
      </c>
      <c r="B951" s="262">
        <v>10</v>
      </c>
      <c r="C951" s="262" t="s">
        <v>1047</v>
      </c>
      <c r="D951" s="262">
        <v>4</v>
      </c>
      <c r="E951" s="262" t="s">
        <v>758</v>
      </c>
      <c r="F951" s="262">
        <v>0</v>
      </c>
      <c r="G951" s="262">
        <v>0</v>
      </c>
      <c r="H951" s="262">
        <v>1</v>
      </c>
      <c r="I951" s="263">
        <v>264464.78613281198</v>
      </c>
      <c r="J951" s="262" t="s">
        <v>478</v>
      </c>
      <c r="K951" s="262" t="s">
        <v>479</v>
      </c>
      <c r="L951" s="262" t="s">
        <v>80</v>
      </c>
      <c r="M951" s="262" t="s">
        <v>733</v>
      </c>
      <c r="N951" s="262" t="s">
        <v>727</v>
      </c>
      <c r="O951" s="262" t="s">
        <v>11</v>
      </c>
    </row>
    <row r="952" spans="1:15" s="218" customFormat="1" x14ac:dyDescent="0.25">
      <c r="A952" s="265">
        <v>10</v>
      </c>
      <c r="B952" s="265">
        <v>10</v>
      </c>
      <c r="C952" s="265" t="s">
        <v>1047</v>
      </c>
      <c r="D952" s="265">
        <v>4</v>
      </c>
      <c r="E952" s="265" t="s">
        <v>758</v>
      </c>
      <c r="F952" s="265">
        <v>0</v>
      </c>
      <c r="G952" s="265">
        <v>0</v>
      </c>
      <c r="H952" s="265">
        <v>1</v>
      </c>
      <c r="I952" s="266">
        <v>2471644.00683593</v>
      </c>
      <c r="J952" s="265" t="s">
        <v>59</v>
      </c>
      <c r="K952" s="265" t="s">
        <v>60</v>
      </c>
      <c r="L952" s="265" t="s">
        <v>9</v>
      </c>
      <c r="M952" s="265" t="s">
        <v>10</v>
      </c>
      <c r="N952" s="265" t="s">
        <v>728</v>
      </c>
      <c r="O952" s="265" t="s">
        <v>11</v>
      </c>
    </row>
    <row r="953" spans="1:15" s="264" customFormat="1" x14ac:dyDescent="0.25">
      <c r="A953" s="262">
        <v>10</v>
      </c>
      <c r="B953" s="262">
        <v>10</v>
      </c>
      <c r="C953" s="262" t="s">
        <v>1047</v>
      </c>
      <c r="D953" s="262">
        <v>4</v>
      </c>
      <c r="E953" s="262" t="s">
        <v>758</v>
      </c>
      <c r="F953" s="262">
        <v>0</v>
      </c>
      <c r="G953" s="262">
        <v>0</v>
      </c>
      <c r="H953" s="262">
        <v>1</v>
      </c>
      <c r="I953" s="263">
        <v>3156321.3383789002</v>
      </c>
      <c r="J953" s="262" t="s">
        <v>44</v>
      </c>
      <c r="K953" s="262" t="s">
        <v>45</v>
      </c>
      <c r="L953" s="262" t="s">
        <v>46</v>
      </c>
      <c r="M953" s="262" t="s">
        <v>739</v>
      </c>
      <c r="N953" s="262" t="s">
        <v>727</v>
      </c>
      <c r="O953" s="262" t="s">
        <v>11</v>
      </c>
    </row>
    <row r="954" spans="1:15" s="218" customFormat="1" x14ac:dyDescent="0.25">
      <c r="A954" s="265">
        <v>10</v>
      </c>
      <c r="B954" s="265">
        <v>10</v>
      </c>
      <c r="C954" s="265" t="s">
        <v>1047</v>
      </c>
      <c r="D954" s="265">
        <v>4</v>
      </c>
      <c r="E954" s="265" t="s">
        <v>758</v>
      </c>
      <c r="F954" s="265">
        <v>0</v>
      </c>
      <c r="G954" s="265">
        <v>0</v>
      </c>
      <c r="H954" s="265">
        <v>1</v>
      </c>
      <c r="I954" s="266">
        <v>512075.92089843698</v>
      </c>
      <c r="J954" s="265" t="s">
        <v>519</v>
      </c>
      <c r="K954" s="265" t="s">
        <v>520</v>
      </c>
      <c r="L954" s="265" t="s">
        <v>80</v>
      </c>
      <c r="M954" s="265" t="s">
        <v>733</v>
      </c>
      <c r="N954" s="265" t="s">
        <v>728</v>
      </c>
      <c r="O954" s="265" t="s">
        <v>11</v>
      </c>
    </row>
    <row r="955" spans="1:15" s="129" customFormat="1" x14ac:dyDescent="0.25">
      <c r="A955" s="130">
        <v>10</v>
      </c>
      <c r="B955" s="130">
        <v>10</v>
      </c>
      <c r="C955" s="130" t="s">
        <v>1047</v>
      </c>
      <c r="D955" s="130">
        <v>4</v>
      </c>
      <c r="E955" s="130" t="s">
        <v>758</v>
      </c>
      <c r="F955" s="130">
        <v>0</v>
      </c>
      <c r="G955" s="130">
        <v>0</v>
      </c>
      <c r="H955" s="130">
        <v>1</v>
      </c>
      <c r="I955" s="131">
        <v>373750.53613281198</v>
      </c>
      <c r="J955" s="130" t="s">
        <v>341</v>
      </c>
      <c r="K955" s="130" t="s">
        <v>342</v>
      </c>
      <c r="L955" s="130" t="s">
        <v>9</v>
      </c>
      <c r="M955" s="130" t="s">
        <v>10</v>
      </c>
      <c r="N955" s="130" t="s">
        <v>15</v>
      </c>
      <c r="O955" s="130" t="s">
        <v>11</v>
      </c>
    </row>
    <row r="956" spans="1:15" s="218" customFormat="1" x14ac:dyDescent="0.25">
      <c r="A956" s="265">
        <v>10</v>
      </c>
      <c r="B956" s="265">
        <v>10</v>
      </c>
      <c r="C956" s="265" t="s">
        <v>1047</v>
      </c>
      <c r="D956" s="265">
        <v>4</v>
      </c>
      <c r="E956" s="265" t="s">
        <v>758</v>
      </c>
      <c r="F956" s="265">
        <v>0</v>
      </c>
      <c r="G956" s="265">
        <v>0</v>
      </c>
      <c r="H956" s="265">
        <v>1</v>
      </c>
      <c r="I956" s="266">
        <v>87.2587890625</v>
      </c>
      <c r="J956" s="265" t="s">
        <v>553</v>
      </c>
      <c r="K956" s="265" t="s">
        <v>554</v>
      </c>
      <c r="L956" s="265" t="s">
        <v>80</v>
      </c>
      <c r="M956" s="265" t="s">
        <v>733</v>
      </c>
      <c r="N956" s="265" t="s">
        <v>728</v>
      </c>
      <c r="O956" s="265" t="s">
        <v>11</v>
      </c>
    </row>
    <row r="957" spans="1:15" s="218" customFormat="1" x14ac:dyDescent="0.25">
      <c r="A957" s="265">
        <v>10</v>
      </c>
      <c r="B957" s="265">
        <v>10</v>
      </c>
      <c r="C957" s="265" t="s">
        <v>1047</v>
      </c>
      <c r="D957" s="265">
        <v>4</v>
      </c>
      <c r="E957" s="265" t="s">
        <v>758</v>
      </c>
      <c r="F957" s="265">
        <v>0</v>
      </c>
      <c r="G957" s="265">
        <v>0</v>
      </c>
      <c r="H957" s="265">
        <v>1</v>
      </c>
      <c r="I957" s="266">
        <v>378536.15332031198</v>
      </c>
      <c r="J957" s="265" t="s">
        <v>223</v>
      </c>
      <c r="K957" s="265" t="s">
        <v>224</v>
      </c>
      <c r="L957" s="265" t="s">
        <v>80</v>
      </c>
      <c r="M957" s="265" t="s">
        <v>733</v>
      </c>
      <c r="N957" s="265" t="s">
        <v>728</v>
      </c>
      <c r="O957" s="265" t="s">
        <v>11</v>
      </c>
    </row>
    <row r="958" spans="1:15" s="264" customFormat="1" x14ac:dyDescent="0.25">
      <c r="A958" s="262">
        <v>10</v>
      </c>
      <c r="B958" s="262">
        <v>10</v>
      </c>
      <c r="C958" s="262" t="s">
        <v>1047</v>
      </c>
      <c r="D958" s="262">
        <v>4</v>
      </c>
      <c r="E958" s="262" t="s">
        <v>758</v>
      </c>
      <c r="F958" s="262">
        <v>0</v>
      </c>
      <c r="G958" s="262">
        <v>0</v>
      </c>
      <c r="H958" s="262">
        <v>1</v>
      </c>
      <c r="I958" s="263">
        <v>460204.98046875</v>
      </c>
      <c r="J958" s="262" t="s">
        <v>245</v>
      </c>
      <c r="K958" s="262" t="s">
        <v>246</v>
      </c>
      <c r="L958" s="262" t="s">
        <v>9</v>
      </c>
      <c r="M958" s="262" t="s">
        <v>10</v>
      </c>
      <c r="N958" s="262" t="s">
        <v>727</v>
      </c>
      <c r="O958" s="262" t="s">
        <v>11</v>
      </c>
    </row>
    <row r="959" spans="1:15" s="264" customFormat="1" x14ac:dyDescent="0.25">
      <c r="A959" s="262">
        <v>10</v>
      </c>
      <c r="B959" s="262">
        <v>10</v>
      </c>
      <c r="C959" s="262" t="s">
        <v>1047</v>
      </c>
      <c r="D959" s="262">
        <v>4</v>
      </c>
      <c r="E959" s="262" t="s">
        <v>758</v>
      </c>
      <c r="F959" s="262">
        <v>0</v>
      </c>
      <c r="G959" s="262">
        <v>0</v>
      </c>
      <c r="H959" s="262">
        <v>1</v>
      </c>
      <c r="I959" s="263">
        <v>1467212.52197265</v>
      </c>
      <c r="J959" s="262" t="s">
        <v>393</v>
      </c>
      <c r="K959" s="262" t="s">
        <v>394</v>
      </c>
      <c r="L959" s="262" t="s">
        <v>18</v>
      </c>
      <c r="M959" s="262" t="s">
        <v>19</v>
      </c>
      <c r="N959" s="262" t="s">
        <v>727</v>
      </c>
      <c r="O959" s="262" t="s">
        <v>11</v>
      </c>
    </row>
    <row r="960" spans="1:15" s="129" customFormat="1" x14ac:dyDescent="0.25">
      <c r="A960" s="130">
        <v>10</v>
      </c>
      <c r="B960" s="130">
        <v>10</v>
      </c>
      <c r="C960" s="130" t="s">
        <v>1047</v>
      </c>
      <c r="D960" s="130">
        <v>4</v>
      </c>
      <c r="E960" s="130" t="s">
        <v>758</v>
      </c>
      <c r="F960" s="130">
        <v>0</v>
      </c>
      <c r="G960" s="130">
        <v>0</v>
      </c>
      <c r="H960" s="130">
        <v>1</v>
      </c>
      <c r="I960" s="131">
        <v>616229.65869140602</v>
      </c>
      <c r="J960" s="130" t="s">
        <v>434</v>
      </c>
      <c r="K960" s="130" t="s">
        <v>435</v>
      </c>
      <c r="L960" s="130" t="s">
        <v>80</v>
      </c>
      <c r="M960" s="130" t="s">
        <v>733</v>
      </c>
      <c r="N960" s="130" t="s">
        <v>15</v>
      </c>
      <c r="O960" s="130" t="s">
        <v>11</v>
      </c>
    </row>
    <row r="961" spans="1:15" s="218" customFormat="1" x14ac:dyDescent="0.25">
      <c r="A961" s="265">
        <v>10</v>
      </c>
      <c r="B961" s="265">
        <v>10</v>
      </c>
      <c r="C961" s="265" t="s">
        <v>1047</v>
      </c>
      <c r="D961" s="265">
        <v>4</v>
      </c>
      <c r="E961" s="265" t="s">
        <v>758</v>
      </c>
      <c r="F961" s="265">
        <v>0</v>
      </c>
      <c r="G961" s="265">
        <v>0</v>
      </c>
      <c r="H961" s="265">
        <v>1</v>
      </c>
      <c r="I961" s="266">
        <v>2206825.0268554599</v>
      </c>
      <c r="J961" s="265" t="s">
        <v>498</v>
      </c>
      <c r="K961" s="265" t="s">
        <v>499</v>
      </c>
      <c r="L961" s="265" t="s">
        <v>33</v>
      </c>
      <c r="M961" s="265" t="s">
        <v>34</v>
      </c>
      <c r="N961" s="265" t="s">
        <v>728</v>
      </c>
      <c r="O961" s="265" t="s">
        <v>11</v>
      </c>
    </row>
    <row r="962" spans="1:15" s="218" customFormat="1" x14ac:dyDescent="0.25">
      <c r="A962" s="265">
        <v>10</v>
      </c>
      <c r="B962" s="265">
        <v>10</v>
      </c>
      <c r="C962" s="265" t="s">
        <v>1047</v>
      </c>
      <c r="D962" s="265">
        <v>4</v>
      </c>
      <c r="E962" s="265" t="s">
        <v>758</v>
      </c>
      <c r="F962" s="265">
        <v>0</v>
      </c>
      <c r="G962" s="265">
        <v>0</v>
      </c>
      <c r="H962" s="265">
        <v>1</v>
      </c>
      <c r="I962" s="266">
        <v>1360936.92578125</v>
      </c>
      <c r="J962" s="265" t="s">
        <v>87</v>
      </c>
      <c r="K962" s="265" t="s">
        <v>88</v>
      </c>
      <c r="L962" s="265" t="s">
        <v>80</v>
      </c>
      <c r="M962" s="265" t="s">
        <v>733</v>
      </c>
      <c r="N962" s="265" t="s">
        <v>728</v>
      </c>
      <c r="O962" s="265" t="s">
        <v>11</v>
      </c>
    </row>
    <row r="963" spans="1:15" s="218" customFormat="1" x14ac:dyDescent="0.25">
      <c r="A963" s="265">
        <v>10</v>
      </c>
      <c r="B963" s="265">
        <v>10</v>
      </c>
      <c r="C963" s="265" t="s">
        <v>1047</v>
      </c>
      <c r="D963" s="265">
        <v>4</v>
      </c>
      <c r="E963" s="265" t="s">
        <v>758</v>
      </c>
      <c r="F963" s="265">
        <v>0</v>
      </c>
      <c r="G963" s="265">
        <v>0</v>
      </c>
      <c r="H963" s="265">
        <v>1</v>
      </c>
      <c r="I963" s="266">
        <v>74561.653808593706</v>
      </c>
      <c r="J963" s="265" t="s">
        <v>343</v>
      </c>
      <c r="K963" s="265" t="s">
        <v>344</v>
      </c>
      <c r="L963" s="265" t="s">
        <v>227</v>
      </c>
      <c r="M963" s="265" t="s">
        <v>228</v>
      </c>
      <c r="N963" s="265" t="s">
        <v>728</v>
      </c>
      <c r="O963" s="265" t="s">
        <v>11</v>
      </c>
    </row>
    <row r="964" spans="1:15" s="129" customFormat="1" x14ac:dyDescent="0.25">
      <c r="A964" s="130">
        <v>10</v>
      </c>
      <c r="B964" s="130">
        <v>10</v>
      </c>
      <c r="C964" s="130" t="s">
        <v>1047</v>
      </c>
      <c r="D964" s="130">
        <v>4</v>
      </c>
      <c r="E964" s="130" t="s">
        <v>758</v>
      </c>
      <c r="F964" s="130">
        <v>0</v>
      </c>
      <c r="G964" s="130">
        <v>0</v>
      </c>
      <c r="H964" s="130">
        <v>1</v>
      </c>
      <c r="I964" s="131">
        <v>2659968.5322265602</v>
      </c>
      <c r="J964" s="130" t="s">
        <v>498</v>
      </c>
      <c r="K964" s="130" t="s">
        <v>499</v>
      </c>
      <c r="L964" s="130" t="s">
        <v>33</v>
      </c>
      <c r="M964" s="130" t="s">
        <v>34</v>
      </c>
      <c r="N964" s="130" t="s">
        <v>15</v>
      </c>
      <c r="O964" s="130" t="s">
        <v>11</v>
      </c>
    </row>
    <row r="965" spans="1:15" s="264" customFormat="1" x14ac:dyDescent="0.25">
      <c r="A965" s="262">
        <v>10</v>
      </c>
      <c r="B965" s="262">
        <v>10</v>
      </c>
      <c r="C965" s="262" t="s">
        <v>1047</v>
      </c>
      <c r="D965" s="262">
        <v>4</v>
      </c>
      <c r="E965" s="262" t="s">
        <v>758</v>
      </c>
      <c r="F965" s="262">
        <v>0</v>
      </c>
      <c r="G965" s="262">
        <v>0</v>
      </c>
      <c r="H965" s="262">
        <v>1</v>
      </c>
      <c r="I965" s="263">
        <v>1182798.86230468</v>
      </c>
      <c r="J965" s="262" t="s">
        <v>507</v>
      </c>
      <c r="K965" s="262" t="s">
        <v>508</v>
      </c>
      <c r="L965" s="262" t="s">
        <v>80</v>
      </c>
      <c r="M965" s="262" t="s">
        <v>733</v>
      </c>
      <c r="N965" s="262" t="s">
        <v>727</v>
      </c>
      <c r="O965" s="262" t="s">
        <v>11</v>
      </c>
    </row>
    <row r="966" spans="1:15" s="264" customFormat="1" x14ac:dyDescent="0.25">
      <c r="A966" s="262">
        <v>10</v>
      </c>
      <c r="B966" s="262">
        <v>10</v>
      </c>
      <c r="C966" s="262" t="s">
        <v>1047</v>
      </c>
      <c r="D966" s="262">
        <v>4</v>
      </c>
      <c r="E966" s="262" t="s">
        <v>758</v>
      </c>
      <c r="F966" s="262">
        <v>0</v>
      </c>
      <c r="G966" s="262">
        <v>0</v>
      </c>
      <c r="H966" s="262">
        <v>1</v>
      </c>
      <c r="I966" s="263">
        <v>2782640.5595703102</v>
      </c>
      <c r="J966" s="262" t="s">
        <v>484</v>
      </c>
      <c r="K966" s="262" t="s">
        <v>485</v>
      </c>
      <c r="L966" s="262" t="s">
        <v>80</v>
      </c>
      <c r="M966" s="262" t="s">
        <v>733</v>
      </c>
      <c r="N966" s="262" t="s">
        <v>727</v>
      </c>
      <c r="O966" s="262" t="s">
        <v>11</v>
      </c>
    </row>
    <row r="967" spans="1:15" s="264" customFormat="1" x14ac:dyDescent="0.25">
      <c r="A967" s="262">
        <v>10</v>
      </c>
      <c r="B967" s="262">
        <v>10</v>
      </c>
      <c r="C967" s="262" t="s">
        <v>1047</v>
      </c>
      <c r="D967" s="262">
        <v>4</v>
      </c>
      <c r="E967" s="262" t="s">
        <v>758</v>
      </c>
      <c r="F967" s="262">
        <v>0</v>
      </c>
      <c r="G967" s="262">
        <v>0</v>
      </c>
      <c r="H967" s="262">
        <v>1</v>
      </c>
      <c r="I967" s="263">
        <v>638660.99902343703</v>
      </c>
      <c r="J967" s="262" t="s">
        <v>126</v>
      </c>
      <c r="K967" s="262" t="s">
        <v>127</v>
      </c>
      <c r="L967" s="262" t="s">
        <v>9</v>
      </c>
      <c r="M967" s="262" t="s">
        <v>10</v>
      </c>
      <c r="N967" s="262" t="s">
        <v>727</v>
      </c>
      <c r="O967" s="262" t="s">
        <v>11</v>
      </c>
    </row>
    <row r="968" spans="1:15" s="264" customFormat="1" x14ac:dyDescent="0.25">
      <c r="A968" s="262">
        <v>10</v>
      </c>
      <c r="B968" s="262">
        <v>10</v>
      </c>
      <c r="C968" s="262" t="s">
        <v>1047</v>
      </c>
      <c r="D968" s="262">
        <v>4</v>
      </c>
      <c r="E968" s="262" t="s">
        <v>758</v>
      </c>
      <c r="F968" s="262">
        <v>0</v>
      </c>
      <c r="G968" s="262">
        <v>0</v>
      </c>
      <c r="H968" s="262">
        <v>1</v>
      </c>
      <c r="I968" s="263">
        <v>2371.41552734375</v>
      </c>
      <c r="J968" s="262" t="s">
        <v>583</v>
      </c>
      <c r="K968" s="262" t="s">
        <v>584</v>
      </c>
      <c r="L968" s="262" t="s">
        <v>80</v>
      </c>
      <c r="M968" s="262" t="s">
        <v>733</v>
      </c>
      <c r="N968" s="262" t="s">
        <v>727</v>
      </c>
      <c r="O968" s="262" t="s">
        <v>11</v>
      </c>
    </row>
    <row r="969" spans="1:15" s="264" customFormat="1" x14ac:dyDescent="0.25">
      <c r="A969" s="262">
        <v>10</v>
      </c>
      <c r="B969" s="262">
        <v>10</v>
      </c>
      <c r="C969" s="262" t="s">
        <v>1047</v>
      </c>
      <c r="D969" s="262">
        <v>4</v>
      </c>
      <c r="E969" s="262" t="s">
        <v>758</v>
      </c>
      <c r="F969" s="262">
        <v>0</v>
      </c>
      <c r="G969" s="262">
        <v>0</v>
      </c>
      <c r="H969" s="262">
        <v>1</v>
      </c>
      <c r="I969" s="263">
        <v>1024205.81542968</v>
      </c>
      <c r="J969" s="262" t="s">
        <v>83</v>
      </c>
      <c r="K969" s="262" t="s">
        <v>84</v>
      </c>
      <c r="L969" s="262" t="s">
        <v>80</v>
      </c>
      <c r="M969" s="262" t="s">
        <v>733</v>
      </c>
      <c r="N969" s="262" t="s">
        <v>727</v>
      </c>
      <c r="O969" s="262" t="s">
        <v>11</v>
      </c>
    </row>
    <row r="970" spans="1:15" s="129" customFormat="1" x14ac:dyDescent="0.25">
      <c r="A970" s="130">
        <v>10</v>
      </c>
      <c r="B970" s="130">
        <v>10</v>
      </c>
      <c r="C970" s="130" t="s">
        <v>1047</v>
      </c>
      <c r="D970" s="130">
        <v>4</v>
      </c>
      <c r="E970" s="130" t="s">
        <v>758</v>
      </c>
      <c r="F970" s="130">
        <v>0</v>
      </c>
      <c r="G970" s="130">
        <v>0</v>
      </c>
      <c r="H970" s="130">
        <v>1</v>
      </c>
      <c r="I970" s="131">
        <v>4066439.06396484</v>
      </c>
      <c r="J970" s="130" t="s">
        <v>245</v>
      </c>
      <c r="K970" s="130" t="s">
        <v>246</v>
      </c>
      <c r="L970" s="130" t="s">
        <v>9</v>
      </c>
      <c r="M970" s="130" t="s">
        <v>10</v>
      </c>
      <c r="N970" s="130" t="s">
        <v>15</v>
      </c>
      <c r="O970" s="130" t="s">
        <v>11</v>
      </c>
    </row>
    <row r="971" spans="1:15" s="278" customFormat="1" x14ac:dyDescent="0.25">
      <c r="A971" s="276">
        <v>10</v>
      </c>
      <c r="B971" s="276">
        <v>10</v>
      </c>
      <c r="C971" s="276" t="s">
        <v>1047</v>
      </c>
      <c r="D971" s="276">
        <v>4</v>
      </c>
      <c r="E971" s="276" t="s">
        <v>758</v>
      </c>
      <c r="F971" s="276">
        <v>0</v>
      </c>
      <c r="G971" s="276">
        <v>0</v>
      </c>
      <c r="H971" s="276">
        <v>1</v>
      </c>
      <c r="I971" s="277">
        <v>32613.752441406199</v>
      </c>
      <c r="J971" s="276" t="s">
        <v>519</v>
      </c>
      <c r="K971" s="276" t="s">
        <v>520</v>
      </c>
      <c r="L971" s="276" t="s">
        <v>80</v>
      </c>
      <c r="M971" s="276" t="s">
        <v>733</v>
      </c>
      <c r="N971" s="276" t="s">
        <v>729</v>
      </c>
      <c r="O971" s="276" t="s">
        <v>11</v>
      </c>
    </row>
    <row r="972" spans="1:15" s="275" customFormat="1" x14ac:dyDescent="0.25">
      <c r="A972" s="273">
        <v>10</v>
      </c>
      <c r="B972" s="273">
        <v>10</v>
      </c>
      <c r="C972" s="273" t="s">
        <v>1047</v>
      </c>
      <c r="D972" s="273">
        <v>4</v>
      </c>
      <c r="E972" s="273" t="s">
        <v>758</v>
      </c>
      <c r="F972" s="273">
        <v>0</v>
      </c>
      <c r="G972" s="273">
        <v>0</v>
      </c>
      <c r="H972" s="273">
        <v>1</v>
      </c>
      <c r="I972" s="274">
        <v>4275.814453125</v>
      </c>
      <c r="J972" s="273" t="s">
        <v>343</v>
      </c>
      <c r="K972" s="273" t="s">
        <v>344</v>
      </c>
      <c r="L972" s="273" t="s">
        <v>227</v>
      </c>
      <c r="M972" s="273" t="s">
        <v>228</v>
      </c>
      <c r="N972" s="273" t="s">
        <v>730</v>
      </c>
      <c r="O972" s="273" t="s">
        <v>11</v>
      </c>
    </row>
    <row r="973" spans="1:15" s="129" customFormat="1" x14ac:dyDescent="0.25">
      <c r="A973" s="130">
        <v>10</v>
      </c>
      <c r="B973" s="130">
        <v>10</v>
      </c>
      <c r="C973" s="130" t="s">
        <v>1047</v>
      </c>
      <c r="D973" s="130">
        <v>4</v>
      </c>
      <c r="E973" s="130" t="s">
        <v>758</v>
      </c>
      <c r="F973" s="130">
        <v>0</v>
      </c>
      <c r="G973" s="130">
        <v>0</v>
      </c>
      <c r="H973" s="130">
        <v>1</v>
      </c>
      <c r="I973" s="131">
        <v>18372051.105468702</v>
      </c>
      <c r="J973" s="130" t="s">
        <v>207</v>
      </c>
      <c r="K973" s="130" t="s">
        <v>208</v>
      </c>
      <c r="L973" s="130" t="s">
        <v>33</v>
      </c>
      <c r="M973" s="130" t="s">
        <v>34</v>
      </c>
      <c r="N973" s="130" t="s">
        <v>15</v>
      </c>
      <c r="O973" s="130" t="s">
        <v>11</v>
      </c>
    </row>
    <row r="974" spans="1:15" s="218" customFormat="1" x14ac:dyDescent="0.25">
      <c r="A974" s="265">
        <v>10</v>
      </c>
      <c r="B974" s="265">
        <v>10</v>
      </c>
      <c r="C974" s="265" t="s">
        <v>1047</v>
      </c>
      <c r="D974" s="265">
        <v>4</v>
      </c>
      <c r="E974" s="265" t="s">
        <v>758</v>
      </c>
      <c r="F974" s="265">
        <v>0</v>
      </c>
      <c r="G974" s="265">
        <v>0</v>
      </c>
      <c r="H974" s="265">
        <v>1</v>
      </c>
      <c r="I974" s="266">
        <v>29015.4345703125</v>
      </c>
      <c r="J974" s="265" t="s">
        <v>434</v>
      </c>
      <c r="K974" s="265" t="s">
        <v>435</v>
      </c>
      <c r="L974" s="265" t="s">
        <v>80</v>
      </c>
      <c r="M974" s="265" t="s">
        <v>733</v>
      </c>
      <c r="N974" s="265" t="s">
        <v>728</v>
      </c>
      <c r="O974" s="265" t="s">
        <v>11</v>
      </c>
    </row>
    <row r="975" spans="1:15" s="129" customFormat="1" x14ac:dyDescent="0.25">
      <c r="A975" s="130">
        <v>10</v>
      </c>
      <c r="B975" s="130">
        <v>10</v>
      </c>
      <c r="C975" s="130" t="s">
        <v>1047</v>
      </c>
      <c r="D975" s="130">
        <v>4</v>
      </c>
      <c r="E975" s="130" t="s">
        <v>758</v>
      </c>
      <c r="F975" s="130">
        <v>0</v>
      </c>
      <c r="G975" s="130">
        <v>0</v>
      </c>
      <c r="H975" s="130">
        <v>1</v>
      </c>
      <c r="I975" s="131">
        <v>339233.8984375</v>
      </c>
      <c r="J975" s="130" t="s">
        <v>361</v>
      </c>
      <c r="K975" s="130" t="s">
        <v>362</v>
      </c>
      <c r="L975" s="130" t="s">
        <v>33</v>
      </c>
      <c r="M975" s="130" t="s">
        <v>34</v>
      </c>
      <c r="N975" s="130" t="s">
        <v>15</v>
      </c>
      <c r="O975" s="130" t="s">
        <v>11</v>
      </c>
    </row>
    <row r="976" spans="1:15" s="218" customFormat="1" x14ac:dyDescent="0.25">
      <c r="A976" s="265">
        <v>10</v>
      </c>
      <c r="B976" s="265">
        <v>10</v>
      </c>
      <c r="C976" s="265" t="s">
        <v>1047</v>
      </c>
      <c r="D976" s="265">
        <v>4</v>
      </c>
      <c r="E976" s="265" t="s">
        <v>758</v>
      </c>
      <c r="F976" s="265">
        <v>0</v>
      </c>
      <c r="G976" s="265">
        <v>0</v>
      </c>
      <c r="H976" s="265">
        <v>1</v>
      </c>
      <c r="I976" s="266">
        <v>262920.47509765602</v>
      </c>
      <c r="J976" s="265" t="s">
        <v>583</v>
      </c>
      <c r="K976" s="265" t="s">
        <v>584</v>
      </c>
      <c r="L976" s="265" t="s">
        <v>80</v>
      </c>
      <c r="M976" s="265" t="s">
        <v>733</v>
      </c>
      <c r="N976" s="265" t="s">
        <v>728</v>
      </c>
      <c r="O976" s="265" t="s">
        <v>11</v>
      </c>
    </row>
    <row r="977" spans="1:15" s="129" customFormat="1" x14ac:dyDescent="0.25">
      <c r="A977" s="130">
        <v>10</v>
      </c>
      <c r="B977" s="130">
        <v>10</v>
      </c>
      <c r="C977" s="130" t="s">
        <v>1047</v>
      </c>
      <c r="D977" s="130">
        <v>4</v>
      </c>
      <c r="E977" s="130" t="s">
        <v>758</v>
      </c>
      <c r="F977" s="130">
        <v>0</v>
      </c>
      <c r="G977" s="130">
        <v>0</v>
      </c>
      <c r="H977" s="130">
        <v>1</v>
      </c>
      <c r="I977" s="131">
        <v>699535.85253906203</v>
      </c>
      <c r="J977" s="130" t="s">
        <v>83</v>
      </c>
      <c r="K977" s="130" t="s">
        <v>84</v>
      </c>
      <c r="L977" s="130" t="s">
        <v>80</v>
      </c>
      <c r="M977" s="130" t="s">
        <v>733</v>
      </c>
      <c r="N977" s="130" t="s">
        <v>15</v>
      </c>
      <c r="O977" s="130" t="s">
        <v>11</v>
      </c>
    </row>
    <row r="978" spans="1:15" s="264" customFormat="1" x14ac:dyDescent="0.25">
      <c r="A978" s="262">
        <v>10</v>
      </c>
      <c r="B978" s="262">
        <v>10</v>
      </c>
      <c r="C978" s="262" t="s">
        <v>1047</v>
      </c>
      <c r="D978" s="262">
        <v>4</v>
      </c>
      <c r="E978" s="262" t="s">
        <v>758</v>
      </c>
      <c r="F978" s="262">
        <v>0</v>
      </c>
      <c r="G978" s="262">
        <v>0</v>
      </c>
      <c r="H978" s="262">
        <v>1</v>
      </c>
      <c r="I978" s="263">
        <v>2224049</v>
      </c>
      <c r="J978" s="262" t="s">
        <v>325</v>
      </c>
      <c r="K978" s="262" t="s">
        <v>326</v>
      </c>
      <c r="L978" s="262" t="s">
        <v>80</v>
      </c>
      <c r="M978" s="262" t="s">
        <v>733</v>
      </c>
      <c r="N978" s="262" t="s">
        <v>727</v>
      </c>
      <c r="O978" s="262" t="s">
        <v>11</v>
      </c>
    </row>
    <row r="979" spans="1:15" s="129" customFormat="1" x14ac:dyDescent="0.25">
      <c r="A979" s="130">
        <v>10</v>
      </c>
      <c r="B979" s="130">
        <v>10</v>
      </c>
      <c r="C979" s="130" t="s">
        <v>1047</v>
      </c>
      <c r="D979" s="130">
        <v>4</v>
      </c>
      <c r="E979" s="130" t="s">
        <v>758</v>
      </c>
      <c r="F979" s="130">
        <v>0</v>
      </c>
      <c r="G979" s="130">
        <v>0</v>
      </c>
      <c r="H979" s="130">
        <v>1</v>
      </c>
      <c r="I979" s="131">
        <v>367475.7421875</v>
      </c>
      <c r="J979" s="130" t="s">
        <v>173</v>
      </c>
      <c r="K979" s="130" t="s">
        <v>174</v>
      </c>
      <c r="L979" s="130" t="s">
        <v>9</v>
      </c>
      <c r="M979" s="130" t="s">
        <v>10</v>
      </c>
      <c r="N979" s="130" t="s">
        <v>15</v>
      </c>
      <c r="O979" s="130" t="s">
        <v>11</v>
      </c>
    </row>
    <row r="980" spans="1:15" s="28" customFormat="1" x14ac:dyDescent="0.25">
      <c r="A980" s="86">
        <v>10</v>
      </c>
      <c r="B980" s="86">
        <v>10</v>
      </c>
      <c r="C980" s="86" t="s">
        <v>1047</v>
      </c>
      <c r="D980" s="86">
        <v>4</v>
      </c>
      <c r="E980" s="86" t="s">
        <v>758</v>
      </c>
      <c r="F980" s="86">
        <v>0</v>
      </c>
      <c r="G980" s="86">
        <v>0</v>
      </c>
      <c r="H980" s="86">
        <v>1</v>
      </c>
      <c r="I980" s="87">
        <v>1118091.79052734</v>
      </c>
      <c r="J980" s="86" t="s">
        <v>31</v>
      </c>
      <c r="K980" s="86" t="s">
        <v>32</v>
      </c>
      <c r="L980" s="86" t="s">
        <v>33</v>
      </c>
      <c r="M980" s="86" t="s">
        <v>34</v>
      </c>
      <c r="N980" s="86" t="s">
        <v>726</v>
      </c>
      <c r="O980" s="86" t="s">
        <v>105</v>
      </c>
    </row>
    <row r="981" spans="1:15" s="218" customFormat="1" x14ac:dyDescent="0.25">
      <c r="A981" s="265">
        <v>10</v>
      </c>
      <c r="B981" s="265">
        <v>10</v>
      </c>
      <c r="C981" s="265" t="s">
        <v>1047</v>
      </c>
      <c r="D981" s="265">
        <v>4</v>
      </c>
      <c r="E981" s="265" t="s">
        <v>758</v>
      </c>
      <c r="F981" s="265">
        <v>0</v>
      </c>
      <c r="G981" s="265">
        <v>0</v>
      </c>
      <c r="H981" s="265">
        <v>1</v>
      </c>
      <c r="I981" s="266">
        <v>379964.49755859299</v>
      </c>
      <c r="J981" s="265" t="s">
        <v>101</v>
      </c>
      <c r="K981" s="265" t="s">
        <v>102</v>
      </c>
      <c r="L981" s="265" t="s">
        <v>9</v>
      </c>
      <c r="M981" s="265" t="s">
        <v>10</v>
      </c>
      <c r="N981" s="265" t="s">
        <v>728</v>
      </c>
      <c r="O981" s="265" t="s">
        <v>11</v>
      </c>
    </row>
    <row r="982" spans="1:15" s="218" customFormat="1" x14ac:dyDescent="0.25">
      <c r="A982" s="265">
        <v>10</v>
      </c>
      <c r="B982" s="265">
        <v>10</v>
      </c>
      <c r="C982" s="265" t="s">
        <v>1047</v>
      </c>
      <c r="D982" s="265">
        <v>4</v>
      </c>
      <c r="E982" s="265" t="s">
        <v>758</v>
      </c>
      <c r="F982" s="265">
        <v>0</v>
      </c>
      <c r="G982" s="265">
        <v>0</v>
      </c>
      <c r="H982" s="265">
        <v>1</v>
      </c>
      <c r="I982" s="266">
        <v>720149.77392578102</v>
      </c>
      <c r="J982" s="265" t="s">
        <v>507</v>
      </c>
      <c r="K982" s="265" t="s">
        <v>508</v>
      </c>
      <c r="L982" s="265" t="s">
        <v>80</v>
      </c>
      <c r="M982" s="265" t="s">
        <v>733</v>
      </c>
      <c r="N982" s="265" t="s">
        <v>728</v>
      </c>
      <c r="O982" s="265" t="s">
        <v>11</v>
      </c>
    </row>
    <row r="983" spans="1:15" s="129" customFormat="1" x14ac:dyDescent="0.25">
      <c r="A983" s="130">
        <v>10</v>
      </c>
      <c r="B983" s="130">
        <v>10</v>
      </c>
      <c r="C983" s="130" t="s">
        <v>1047</v>
      </c>
      <c r="D983" s="130">
        <v>4</v>
      </c>
      <c r="E983" s="130" t="s">
        <v>758</v>
      </c>
      <c r="F983" s="130">
        <v>0</v>
      </c>
      <c r="G983" s="130">
        <v>0</v>
      </c>
      <c r="H983" s="130">
        <v>1</v>
      </c>
      <c r="I983" s="131">
        <v>209245.77832031201</v>
      </c>
      <c r="J983" s="130" t="s">
        <v>478</v>
      </c>
      <c r="K983" s="130" t="s">
        <v>479</v>
      </c>
      <c r="L983" s="130" t="s">
        <v>80</v>
      </c>
      <c r="M983" s="130" t="s">
        <v>733</v>
      </c>
      <c r="N983" s="130" t="s">
        <v>15</v>
      </c>
      <c r="O983" s="130" t="s">
        <v>11</v>
      </c>
    </row>
    <row r="984" spans="1:15" s="264" customFormat="1" x14ac:dyDescent="0.25">
      <c r="A984" s="262">
        <v>10</v>
      </c>
      <c r="B984" s="262">
        <v>10</v>
      </c>
      <c r="C984" s="262" t="s">
        <v>1047</v>
      </c>
      <c r="D984" s="262">
        <v>4</v>
      </c>
      <c r="E984" s="262" t="s">
        <v>758</v>
      </c>
      <c r="F984" s="262">
        <v>0</v>
      </c>
      <c r="G984" s="262">
        <v>0</v>
      </c>
      <c r="H984" s="262">
        <v>1</v>
      </c>
      <c r="I984" s="263">
        <v>623253.65185546805</v>
      </c>
      <c r="J984" s="262" t="s">
        <v>341</v>
      </c>
      <c r="K984" s="262" t="s">
        <v>342</v>
      </c>
      <c r="L984" s="262" t="s">
        <v>9</v>
      </c>
      <c r="M984" s="262" t="s">
        <v>10</v>
      </c>
      <c r="N984" s="262" t="s">
        <v>727</v>
      </c>
      <c r="O984" s="262" t="s">
        <v>11</v>
      </c>
    </row>
    <row r="985" spans="1:15" s="264" customFormat="1" x14ac:dyDescent="0.25">
      <c r="A985" s="262">
        <v>10</v>
      </c>
      <c r="B985" s="262">
        <v>10</v>
      </c>
      <c r="C985" s="262" t="s">
        <v>1047</v>
      </c>
      <c r="D985" s="262">
        <v>4</v>
      </c>
      <c r="E985" s="262" t="s">
        <v>758</v>
      </c>
      <c r="F985" s="262">
        <v>0</v>
      </c>
      <c r="G985" s="262">
        <v>0</v>
      </c>
      <c r="H985" s="262">
        <v>1</v>
      </c>
      <c r="I985" s="263">
        <v>458489.5</v>
      </c>
      <c r="J985" s="262" t="s">
        <v>519</v>
      </c>
      <c r="K985" s="262" t="s">
        <v>520</v>
      </c>
      <c r="L985" s="262" t="s">
        <v>80</v>
      </c>
      <c r="M985" s="262" t="s">
        <v>733</v>
      </c>
      <c r="N985" s="262" t="s">
        <v>727</v>
      </c>
      <c r="O985" s="262" t="s">
        <v>11</v>
      </c>
    </row>
    <row r="986" spans="1:15" s="218" customFormat="1" x14ac:dyDescent="0.25">
      <c r="A986" s="265">
        <v>10</v>
      </c>
      <c r="B986" s="265">
        <v>10</v>
      </c>
      <c r="C986" s="265" t="s">
        <v>1047</v>
      </c>
      <c r="D986" s="265">
        <v>4</v>
      </c>
      <c r="E986" s="265" t="s">
        <v>758</v>
      </c>
      <c r="F986" s="265">
        <v>0</v>
      </c>
      <c r="G986" s="265">
        <v>0</v>
      </c>
      <c r="H986" s="265">
        <v>1</v>
      </c>
      <c r="I986" s="266">
        <v>408558.57519531198</v>
      </c>
      <c r="J986" s="265" t="s">
        <v>484</v>
      </c>
      <c r="K986" s="265" t="s">
        <v>485</v>
      </c>
      <c r="L986" s="265" t="s">
        <v>80</v>
      </c>
      <c r="M986" s="265" t="s">
        <v>733</v>
      </c>
      <c r="N986" s="265" t="s">
        <v>728</v>
      </c>
      <c r="O986" s="265" t="s">
        <v>11</v>
      </c>
    </row>
    <row r="987" spans="1:15" s="264" customFormat="1" x14ac:dyDescent="0.25">
      <c r="A987" s="262">
        <v>10</v>
      </c>
      <c r="B987" s="262">
        <v>10</v>
      </c>
      <c r="C987" s="262" t="s">
        <v>1047</v>
      </c>
      <c r="D987" s="262">
        <v>4</v>
      </c>
      <c r="E987" s="262" t="s">
        <v>758</v>
      </c>
      <c r="F987" s="262">
        <v>0</v>
      </c>
      <c r="G987" s="262">
        <v>0</v>
      </c>
      <c r="H987" s="262">
        <v>1</v>
      </c>
      <c r="I987" s="263">
        <v>187412.53759765599</v>
      </c>
      <c r="J987" s="262" t="s">
        <v>269</v>
      </c>
      <c r="K987" s="262" t="s">
        <v>270</v>
      </c>
      <c r="L987" s="262" t="s">
        <v>9</v>
      </c>
      <c r="M987" s="262" t="s">
        <v>10</v>
      </c>
      <c r="N987" s="262" t="s">
        <v>727</v>
      </c>
      <c r="O987" s="262" t="s">
        <v>11</v>
      </c>
    </row>
    <row r="988" spans="1:15" s="218" customFormat="1" x14ac:dyDescent="0.25">
      <c r="A988" s="265">
        <v>10</v>
      </c>
      <c r="B988" s="265">
        <v>10</v>
      </c>
      <c r="C988" s="265" t="s">
        <v>1047</v>
      </c>
      <c r="D988" s="265">
        <v>4</v>
      </c>
      <c r="E988" s="265" t="s">
        <v>758</v>
      </c>
      <c r="F988" s="265">
        <v>0</v>
      </c>
      <c r="G988" s="265">
        <v>0</v>
      </c>
      <c r="H988" s="265">
        <v>1</v>
      </c>
      <c r="I988" s="266">
        <v>311478.49072265602</v>
      </c>
      <c r="J988" s="265" t="s">
        <v>203</v>
      </c>
      <c r="K988" s="265" t="s">
        <v>204</v>
      </c>
      <c r="L988" s="265" t="s">
        <v>80</v>
      </c>
      <c r="M988" s="265" t="s">
        <v>733</v>
      </c>
      <c r="N988" s="265" t="s">
        <v>728</v>
      </c>
      <c r="O988" s="265" t="s">
        <v>11</v>
      </c>
    </row>
    <row r="989" spans="1:15" s="281" customFormat="1" x14ac:dyDescent="0.25">
      <c r="A989" s="279">
        <v>10</v>
      </c>
      <c r="B989" s="279">
        <v>10</v>
      </c>
      <c r="C989" s="279" t="s">
        <v>1047</v>
      </c>
      <c r="D989" s="279">
        <v>4</v>
      </c>
      <c r="E989" s="279" t="s">
        <v>758</v>
      </c>
      <c r="F989" s="279">
        <v>0</v>
      </c>
      <c r="G989" s="279">
        <v>0</v>
      </c>
      <c r="H989" s="279">
        <v>1</v>
      </c>
      <c r="I989" s="280">
        <v>828072.83984375</v>
      </c>
      <c r="J989" s="279" t="s">
        <v>414</v>
      </c>
      <c r="K989" s="279" t="s">
        <v>415</v>
      </c>
      <c r="L989" s="279" t="s">
        <v>80</v>
      </c>
      <c r="M989" s="279" t="s">
        <v>733</v>
      </c>
      <c r="N989" s="279" t="s">
        <v>731</v>
      </c>
      <c r="O989" s="279" t="s">
        <v>11</v>
      </c>
    </row>
    <row r="990" spans="1:15" s="218" customFormat="1" x14ac:dyDescent="0.25">
      <c r="A990" s="265">
        <v>10</v>
      </c>
      <c r="B990" s="265">
        <v>10</v>
      </c>
      <c r="C990" s="265" t="s">
        <v>1047</v>
      </c>
      <c r="D990" s="265">
        <v>4</v>
      </c>
      <c r="E990" s="265" t="s">
        <v>758</v>
      </c>
      <c r="F990" s="265">
        <v>0</v>
      </c>
      <c r="G990" s="265">
        <v>0</v>
      </c>
      <c r="H990" s="265">
        <v>1</v>
      </c>
      <c r="I990" s="266">
        <v>1413584.6650390599</v>
      </c>
      <c r="J990" s="265" t="s">
        <v>175</v>
      </c>
      <c r="K990" s="265" t="s">
        <v>176</v>
      </c>
      <c r="L990" s="265" t="s">
        <v>80</v>
      </c>
      <c r="M990" s="265" t="s">
        <v>733</v>
      </c>
      <c r="N990" s="265" t="s">
        <v>728</v>
      </c>
      <c r="O990" s="265" t="s">
        <v>11</v>
      </c>
    </row>
    <row r="991" spans="1:15" s="264" customFormat="1" x14ac:dyDescent="0.25">
      <c r="A991" s="262">
        <v>10</v>
      </c>
      <c r="B991" s="262">
        <v>10</v>
      </c>
      <c r="C991" s="262" t="s">
        <v>1047</v>
      </c>
      <c r="D991" s="262">
        <v>4</v>
      </c>
      <c r="E991" s="262" t="s">
        <v>758</v>
      </c>
      <c r="F991" s="262">
        <v>0</v>
      </c>
      <c r="G991" s="262">
        <v>0</v>
      </c>
      <c r="H991" s="262">
        <v>1</v>
      </c>
      <c r="I991" s="263">
        <v>69954.576660156206</v>
      </c>
      <c r="J991" s="262" t="s">
        <v>361</v>
      </c>
      <c r="K991" s="262" t="s">
        <v>362</v>
      </c>
      <c r="L991" s="262" t="s">
        <v>33</v>
      </c>
      <c r="M991" s="262" t="s">
        <v>34</v>
      </c>
      <c r="N991" s="262" t="s">
        <v>727</v>
      </c>
      <c r="O991" s="262" t="s">
        <v>11</v>
      </c>
    </row>
    <row r="992" spans="1:15" s="264" customFormat="1" x14ac:dyDescent="0.25">
      <c r="A992" s="262">
        <v>10</v>
      </c>
      <c r="B992" s="262">
        <v>10</v>
      </c>
      <c r="C992" s="262" t="s">
        <v>1047</v>
      </c>
      <c r="D992" s="262">
        <v>4</v>
      </c>
      <c r="E992" s="262" t="s">
        <v>758</v>
      </c>
      <c r="F992" s="262">
        <v>0</v>
      </c>
      <c r="G992" s="262">
        <v>0</v>
      </c>
      <c r="H992" s="262">
        <v>1</v>
      </c>
      <c r="I992" s="263">
        <v>927290.041015625</v>
      </c>
      <c r="J992" s="262" t="s">
        <v>323</v>
      </c>
      <c r="K992" s="262" t="s">
        <v>324</v>
      </c>
      <c r="L992" s="262" t="s">
        <v>80</v>
      </c>
      <c r="M992" s="262" t="s">
        <v>733</v>
      </c>
      <c r="N992" s="262" t="s">
        <v>727</v>
      </c>
      <c r="O992" s="262" t="s">
        <v>11</v>
      </c>
    </row>
    <row r="993" spans="1:15" s="278" customFormat="1" x14ac:dyDescent="0.25">
      <c r="A993" s="276">
        <v>10</v>
      </c>
      <c r="B993" s="276">
        <v>10</v>
      </c>
      <c r="C993" s="276" t="s">
        <v>1047</v>
      </c>
      <c r="D993" s="276">
        <v>4</v>
      </c>
      <c r="E993" s="276" t="s">
        <v>758</v>
      </c>
      <c r="F993" s="276">
        <v>0</v>
      </c>
      <c r="G993" s="276">
        <v>0</v>
      </c>
      <c r="H993" s="276">
        <v>1</v>
      </c>
      <c r="I993" s="277">
        <v>13652059.3193359</v>
      </c>
      <c r="J993" s="276" t="s">
        <v>414</v>
      </c>
      <c r="K993" s="276" t="s">
        <v>415</v>
      </c>
      <c r="L993" s="276" t="s">
        <v>80</v>
      </c>
      <c r="M993" s="276" t="s">
        <v>733</v>
      </c>
      <c r="N993" s="276" t="s">
        <v>729</v>
      </c>
      <c r="O993" s="276" t="s">
        <v>11</v>
      </c>
    </row>
    <row r="994" spans="1:15" s="129" customFormat="1" x14ac:dyDescent="0.25">
      <c r="A994" s="130">
        <v>10</v>
      </c>
      <c r="B994" s="130">
        <v>10</v>
      </c>
      <c r="C994" s="130" t="s">
        <v>1047</v>
      </c>
      <c r="D994" s="130">
        <v>4</v>
      </c>
      <c r="E994" s="130" t="s">
        <v>758</v>
      </c>
      <c r="F994" s="130">
        <v>0</v>
      </c>
      <c r="G994" s="130">
        <v>0</v>
      </c>
      <c r="H994" s="130">
        <v>1</v>
      </c>
      <c r="I994" s="131">
        <v>204324.5703125</v>
      </c>
      <c r="J994" s="130" t="s">
        <v>583</v>
      </c>
      <c r="K994" s="130" t="s">
        <v>584</v>
      </c>
      <c r="L994" s="130" t="s">
        <v>80</v>
      </c>
      <c r="M994" s="130" t="s">
        <v>733</v>
      </c>
      <c r="N994" s="130" t="s">
        <v>15</v>
      </c>
      <c r="O994" s="130" t="s">
        <v>11</v>
      </c>
    </row>
    <row r="995" spans="1:15" s="129" customFormat="1" x14ac:dyDescent="0.25">
      <c r="A995" s="130">
        <v>10</v>
      </c>
      <c r="B995" s="130">
        <v>10</v>
      </c>
      <c r="C995" s="130" t="s">
        <v>1047</v>
      </c>
      <c r="D995" s="130">
        <v>4</v>
      </c>
      <c r="E995" s="130" t="s">
        <v>758</v>
      </c>
      <c r="F995" s="130">
        <v>0</v>
      </c>
      <c r="G995" s="130">
        <v>0</v>
      </c>
      <c r="H995" s="130">
        <v>1</v>
      </c>
      <c r="I995" s="131">
        <v>50235.8701171875</v>
      </c>
      <c r="J995" s="130" t="s">
        <v>299</v>
      </c>
      <c r="K995" s="130" t="s">
        <v>300</v>
      </c>
      <c r="L995" s="130" t="s">
        <v>80</v>
      </c>
      <c r="M995" s="130" t="s">
        <v>733</v>
      </c>
      <c r="N995" s="130" t="s">
        <v>15</v>
      </c>
      <c r="O995" s="130" t="s">
        <v>11</v>
      </c>
    </row>
    <row r="996" spans="1:15" s="264" customFormat="1" x14ac:dyDescent="0.25">
      <c r="A996" s="262">
        <v>12</v>
      </c>
      <c r="B996" s="262">
        <v>12</v>
      </c>
      <c r="C996" s="262" t="s">
        <v>1119</v>
      </c>
      <c r="D996" s="262">
        <v>11</v>
      </c>
      <c r="E996" s="262" t="s">
        <v>1118</v>
      </c>
      <c r="F996" s="262">
        <v>0</v>
      </c>
      <c r="G996" s="262">
        <v>0</v>
      </c>
      <c r="H996" s="262">
        <v>0</v>
      </c>
      <c r="I996" s="263">
        <v>206087.92138671799</v>
      </c>
      <c r="J996" s="262" t="s">
        <v>412</v>
      </c>
      <c r="K996" s="262" t="s">
        <v>413</v>
      </c>
      <c r="L996" s="262" t="s">
        <v>227</v>
      </c>
      <c r="M996" s="262" t="s">
        <v>228</v>
      </c>
      <c r="N996" s="262" t="s">
        <v>727</v>
      </c>
      <c r="O996" s="262" t="s">
        <v>11</v>
      </c>
    </row>
    <row r="997" spans="1:15" s="129" customFormat="1" x14ac:dyDescent="0.25">
      <c r="A997" s="130">
        <v>12</v>
      </c>
      <c r="B997" s="130">
        <v>12</v>
      </c>
      <c r="C997" s="130" t="s">
        <v>1119</v>
      </c>
      <c r="D997" s="130">
        <v>11</v>
      </c>
      <c r="E997" s="130" t="s">
        <v>1118</v>
      </c>
      <c r="F997" s="130">
        <v>0</v>
      </c>
      <c r="G997" s="130">
        <v>0</v>
      </c>
      <c r="H997" s="130">
        <v>0</v>
      </c>
      <c r="I997" s="131">
        <v>7315257.9887695303</v>
      </c>
      <c r="J997" s="130" t="s">
        <v>412</v>
      </c>
      <c r="K997" s="130" t="s">
        <v>413</v>
      </c>
      <c r="L997" s="130" t="s">
        <v>227</v>
      </c>
      <c r="M997" s="130" t="s">
        <v>228</v>
      </c>
      <c r="N997" s="130" t="s">
        <v>15</v>
      </c>
      <c r="O997" s="130" t="s">
        <v>11</v>
      </c>
    </row>
    <row r="998" spans="1:15" s="218" customFormat="1" x14ac:dyDescent="0.25">
      <c r="A998" s="265">
        <v>12</v>
      </c>
      <c r="B998" s="265">
        <v>12</v>
      </c>
      <c r="C998" s="265" t="s">
        <v>1119</v>
      </c>
      <c r="D998" s="265">
        <v>11</v>
      </c>
      <c r="E998" s="265" t="s">
        <v>1118</v>
      </c>
      <c r="F998" s="265">
        <v>0</v>
      </c>
      <c r="G998" s="265">
        <v>0</v>
      </c>
      <c r="H998" s="265">
        <v>0</v>
      </c>
      <c r="I998" s="266">
        <v>78567.767578125</v>
      </c>
      <c r="J998" s="265" t="s">
        <v>412</v>
      </c>
      <c r="K998" s="265" t="s">
        <v>413</v>
      </c>
      <c r="L998" s="265" t="s">
        <v>227</v>
      </c>
      <c r="M998" s="265" t="s">
        <v>228</v>
      </c>
      <c r="N998" s="265" t="s">
        <v>728</v>
      </c>
      <c r="O998" s="265" t="s">
        <v>11</v>
      </c>
    </row>
    <row r="999" spans="1:15" s="28" customFormat="1" x14ac:dyDescent="0.25">
      <c r="A999" s="86">
        <v>13</v>
      </c>
      <c r="B999" s="86">
        <v>13</v>
      </c>
      <c r="C999" s="86" t="s">
        <v>1119</v>
      </c>
      <c r="D999" s="86">
        <v>9</v>
      </c>
      <c r="E999" s="86" t="s">
        <v>756</v>
      </c>
      <c r="F999" s="86">
        <v>0</v>
      </c>
      <c r="G999" s="86">
        <v>0</v>
      </c>
      <c r="H999" s="86">
        <v>0</v>
      </c>
      <c r="I999" s="87">
        <v>2006238.20996093</v>
      </c>
      <c r="J999" s="86" t="s">
        <v>31</v>
      </c>
      <c r="K999" s="86" t="s">
        <v>32</v>
      </c>
      <c r="L999" s="86" t="s">
        <v>33</v>
      </c>
      <c r="M999" s="86" t="s">
        <v>34</v>
      </c>
      <c r="N999" s="86" t="s">
        <v>726</v>
      </c>
      <c r="O999" s="86" t="s">
        <v>35</v>
      </c>
    </row>
    <row r="1000" spans="1:15" s="218" customFormat="1" x14ac:dyDescent="0.25">
      <c r="A1000" s="265">
        <v>13</v>
      </c>
      <c r="B1000" s="265">
        <v>13</v>
      </c>
      <c r="C1000" s="265" t="s">
        <v>1119</v>
      </c>
      <c r="D1000" s="265">
        <v>9</v>
      </c>
      <c r="E1000" s="265" t="s">
        <v>756</v>
      </c>
      <c r="F1000" s="265">
        <v>0</v>
      </c>
      <c r="G1000" s="265">
        <v>0</v>
      </c>
      <c r="H1000" s="265">
        <v>0</v>
      </c>
      <c r="I1000" s="266">
        <v>10813.683105468701</v>
      </c>
      <c r="J1000" s="265" t="s">
        <v>225</v>
      </c>
      <c r="K1000" s="265" t="s">
        <v>226</v>
      </c>
      <c r="L1000" s="265" t="s">
        <v>227</v>
      </c>
      <c r="M1000" s="265" t="s">
        <v>228</v>
      </c>
      <c r="N1000" s="265" t="s">
        <v>728</v>
      </c>
      <c r="O1000" s="265" t="s">
        <v>11</v>
      </c>
    </row>
    <row r="1001" spans="1:15" s="264" customFormat="1" x14ac:dyDescent="0.25">
      <c r="A1001" s="262">
        <v>13</v>
      </c>
      <c r="B1001" s="262">
        <v>13</v>
      </c>
      <c r="C1001" s="262" t="s">
        <v>1119</v>
      </c>
      <c r="D1001" s="262">
        <v>9</v>
      </c>
      <c r="E1001" s="262" t="s">
        <v>756</v>
      </c>
      <c r="F1001" s="262">
        <v>0</v>
      </c>
      <c r="G1001" s="262">
        <v>0</v>
      </c>
      <c r="H1001" s="262">
        <v>0</v>
      </c>
      <c r="I1001" s="263">
        <v>7773012.0166015597</v>
      </c>
      <c r="J1001" s="262" t="s">
        <v>225</v>
      </c>
      <c r="K1001" s="262" t="s">
        <v>226</v>
      </c>
      <c r="L1001" s="262" t="s">
        <v>227</v>
      </c>
      <c r="M1001" s="262" t="s">
        <v>228</v>
      </c>
      <c r="N1001" s="262" t="s">
        <v>727</v>
      </c>
      <c r="O1001" s="262" t="s">
        <v>11</v>
      </c>
    </row>
    <row r="1002" spans="1:15" s="264" customFormat="1" x14ac:dyDescent="0.25">
      <c r="A1002" s="262">
        <v>13</v>
      </c>
      <c r="B1002" s="262">
        <v>13</v>
      </c>
      <c r="C1002" s="262" t="s">
        <v>1119</v>
      </c>
      <c r="D1002" s="262">
        <v>9</v>
      </c>
      <c r="E1002" s="262" t="s">
        <v>756</v>
      </c>
      <c r="F1002" s="262">
        <v>0</v>
      </c>
      <c r="G1002" s="262">
        <v>0</v>
      </c>
      <c r="H1002" s="262">
        <v>0</v>
      </c>
      <c r="I1002" s="263">
        <v>1535075.47558593</v>
      </c>
      <c r="J1002" s="262" t="s">
        <v>343</v>
      </c>
      <c r="K1002" s="262" t="s">
        <v>344</v>
      </c>
      <c r="L1002" s="262" t="s">
        <v>227</v>
      </c>
      <c r="M1002" s="262" t="s">
        <v>228</v>
      </c>
      <c r="N1002" s="262" t="s">
        <v>727</v>
      </c>
      <c r="O1002" s="262" t="s">
        <v>11</v>
      </c>
    </row>
    <row r="1003" spans="1:15" s="264" customFormat="1" x14ac:dyDescent="0.25">
      <c r="A1003" s="262">
        <v>13</v>
      </c>
      <c r="B1003" s="262">
        <v>13</v>
      </c>
      <c r="C1003" s="262" t="s">
        <v>1119</v>
      </c>
      <c r="D1003" s="262">
        <v>9</v>
      </c>
      <c r="E1003" s="262" t="s">
        <v>756</v>
      </c>
      <c r="F1003" s="262">
        <v>0</v>
      </c>
      <c r="G1003" s="262">
        <v>0</v>
      </c>
      <c r="H1003" s="262">
        <v>0</v>
      </c>
      <c r="I1003" s="263">
        <v>708161.45849609305</v>
      </c>
      <c r="J1003" s="262" t="s">
        <v>412</v>
      </c>
      <c r="K1003" s="262" t="s">
        <v>413</v>
      </c>
      <c r="L1003" s="262" t="s">
        <v>227</v>
      </c>
      <c r="M1003" s="262" t="s">
        <v>228</v>
      </c>
      <c r="N1003" s="262" t="s">
        <v>727</v>
      </c>
      <c r="O1003" s="262" t="s">
        <v>11</v>
      </c>
    </row>
    <row r="1004" spans="1:15" s="129" customFormat="1" x14ac:dyDescent="0.25">
      <c r="A1004" s="130">
        <v>13</v>
      </c>
      <c r="B1004" s="130">
        <v>13</v>
      </c>
      <c r="C1004" s="130" t="s">
        <v>1119</v>
      </c>
      <c r="D1004" s="130">
        <v>9</v>
      </c>
      <c r="E1004" s="130" t="s">
        <v>756</v>
      </c>
      <c r="F1004" s="130">
        <v>0</v>
      </c>
      <c r="G1004" s="130">
        <v>0</v>
      </c>
      <c r="H1004" s="130">
        <v>0</v>
      </c>
      <c r="I1004" s="131">
        <v>32478222.079101499</v>
      </c>
      <c r="J1004" s="130" t="s">
        <v>412</v>
      </c>
      <c r="K1004" s="130" t="s">
        <v>413</v>
      </c>
      <c r="L1004" s="130" t="s">
        <v>227</v>
      </c>
      <c r="M1004" s="130" t="s">
        <v>228</v>
      </c>
      <c r="N1004" s="130" t="s">
        <v>15</v>
      </c>
      <c r="O1004" s="130" t="s">
        <v>11</v>
      </c>
    </row>
    <row r="1005" spans="1:15" s="218" customFormat="1" x14ac:dyDescent="0.25">
      <c r="A1005" s="265">
        <v>13</v>
      </c>
      <c r="B1005" s="265">
        <v>13</v>
      </c>
      <c r="C1005" s="265" t="s">
        <v>1119</v>
      </c>
      <c r="D1005" s="265">
        <v>9</v>
      </c>
      <c r="E1005" s="265" t="s">
        <v>756</v>
      </c>
      <c r="F1005" s="265">
        <v>0</v>
      </c>
      <c r="G1005" s="265">
        <v>0</v>
      </c>
      <c r="H1005" s="265">
        <v>0</v>
      </c>
      <c r="I1005" s="266">
        <v>319808.04443359299</v>
      </c>
      <c r="J1005" s="265" t="s">
        <v>412</v>
      </c>
      <c r="K1005" s="265" t="s">
        <v>413</v>
      </c>
      <c r="L1005" s="265" t="s">
        <v>227</v>
      </c>
      <c r="M1005" s="265" t="s">
        <v>228</v>
      </c>
      <c r="N1005" s="265" t="s">
        <v>728</v>
      </c>
      <c r="O1005" s="265" t="s">
        <v>11</v>
      </c>
    </row>
    <row r="1006" spans="1:15" s="264" customFormat="1" x14ac:dyDescent="0.25">
      <c r="A1006" s="262">
        <v>13</v>
      </c>
      <c r="B1006" s="262">
        <v>13</v>
      </c>
      <c r="C1006" s="262" t="s">
        <v>1119</v>
      </c>
      <c r="D1006" s="262">
        <v>9</v>
      </c>
      <c r="E1006" s="262" t="s">
        <v>756</v>
      </c>
      <c r="F1006" s="262">
        <v>0</v>
      </c>
      <c r="G1006" s="262">
        <v>0</v>
      </c>
      <c r="H1006" s="262">
        <v>0</v>
      </c>
      <c r="I1006" s="263">
        <v>589095.375</v>
      </c>
      <c r="J1006" s="262" t="s">
        <v>498</v>
      </c>
      <c r="K1006" s="262" t="s">
        <v>499</v>
      </c>
      <c r="L1006" s="262" t="s">
        <v>33</v>
      </c>
      <c r="M1006" s="262" t="s">
        <v>34</v>
      </c>
      <c r="N1006" s="262" t="s">
        <v>727</v>
      </c>
      <c r="O1006" s="262" t="s">
        <v>11</v>
      </c>
    </row>
    <row r="1007" spans="1:15" s="129" customFormat="1" x14ac:dyDescent="0.25">
      <c r="A1007" s="130">
        <v>13</v>
      </c>
      <c r="B1007" s="130">
        <v>13</v>
      </c>
      <c r="C1007" s="130" t="s">
        <v>1119</v>
      </c>
      <c r="D1007" s="130">
        <v>9</v>
      </c>
      <c r="E1007" s="130" t="s">
        <v>756</v>
      </c>
      <c r="F1007" s="130">
        <v>0</v>
      </c>
      <c r="G1007" s="130">
        <v>0</v>
      </c>
      <c r="H1007" s="130">
        <v>0</v>
      </c>
      <c r="I1007" s="131">
        <v>50496564.412597597</v>
      </c>
      <c r="J1007" s="130" t="s">
        <v>225</v>
      </c>
      <c r="K1007" s="130" t="s">
        <v>226</v>
      </c>
      <c r="L1007" s="130" t="s">
        <v>227</v>
      </c>
      <c r="M1007" s="130" t="s">
        <v>228</v>
      </c>
      <c r="N1007" s="130" t="s">
        <v>15</v>
      </c>
      <c r="O1007" s="130" t="s">
        <v>11</v>
      </c>
    </row>
    <row r="1008" spans="1:15" s="129" customFormat="1" x14ac:dyDescent="0.25">
      <c r="A1008" s="130">
        <v>13</v>
      </c>
      <c r="B1008" s="130">
        <v>13</v>
      </c>
      <c r="C1008" s="130" t="s">
        <v>1119</v>
      </c>
      <c r="D1008" s="130">
        <v>9</v>
      </c>
      <c r="E1008" s="130" t="s">
        <v>756</v>
      </c>
      <c r="F1008" s="130">
        <v>0</v>
      </c>
      <c r="G1008" s="130">
        <v>0</v>
      </c>
      <c r="H1008" s="130">
        <v>0</v>
      </c>
      <c r="I1008" s="131">
        <v>42657412.727539003</v>
      </c>
      <c r="J1008" s="130" t="s">
        <v>343</v>
      </c>
      <c r="K1008" s="130" t="s">
        <v>344</v>
      </c>
      <c r="L1008" s="130" t="s">
        <v>227</v>
      </c>
      <c r="M1008" s="130" t="s">
        <v>228</v>
      </c>
      <c r="N1008" s="130" t="s">
        <v>15</v>
      </c>
      <c r="O1008" s="130" t="s">
        <v>11</v>
      </c>
    </row>
    <row r="1009" spans="1:16" s="218" customFormat="1" x14ac:dyDescent="0.25">
      <c r="A1009" s="265">
        <v>13</v>
      </c>
      <c r="B1009" s="265">
        <v>13</v>
      </c>
      <c r="C1009" s="265" t="s">
        <v>1119</v>
      </c>
      <c r="D1009" s="265">
        <v>9</v>
      </c>
      <c r="E1009" s="265" t="s">
        <v>756</v>
      </c>
      <c r="F1009" s="265">
        <v>0</v>
      </c>
      <c r="G1009" s="265">
        <v>0</v>
      </c>
      <c r="H1009" s="265">
        <v>0</v>
      </c>
      <c r="I1009" s="266">
        <v>441814.11621093698</v>
      </c>
      <c r="J1009" s="265" t="s">
        <v>343</v>
      </c>
      <c r="K1009" s="265" t="s">
        <v>344</v>
      </c>
      <c r="L1009" s="265" t="s">
        <v>227</v>
      </c>
      <c r="M1009" s="265" t="s">
        <v>228</v>
      </c>
      <c r="N1009" s="265" t="s">
        <v>728</v>
      </c>
      <c r="O1009" s="265" t="s">
        <v>11</v>
      </c>
    </row>
    <row r="1010" spans="1:16" s="129" customFormat="1" x14ac:dyDescent="0.25">
      <c r="A1010" s="130">
        <v>13</v>
      </c>
      <c r="B1010" s="130">
        <v>13</v>
      </c>
      <c r="C1010" s="130" t="s">
        <v>1119</v>
      </c>
      <c r="D1010" s="130">
        <v>9</v>
      </c>
      <c r="E1010" s="130" t="s">
        <v>756</v>
      </c>
      <c r="F1010" s="130">
        <v>0</v>
      </c>
      <c r="G1010" s="130">
        <v>0</v>
      </c>
      <c r="H1010" s="130">
        <v>0</v>
      </c>
      <c r="I1010" s="131">
        <v>15558240.229003901</v>
      </c>
      <c r="J1010" s="130" t="s">
        <v>498</v>
      </c>
      <c r="K1010" s="130" t="s">
        <v>499</v>
      </c>
      <c r="L1010" s="130" t="s">
        <v>33</v>
      </c>
      <c r="M1010" s="130" t="s">
        <v>34</v>
      </c>
      <c r="N1010" s="130" t="s">
        <v>15</v>
      </c>
      <c r="O1010" s="130" t="s">
        <v>11</v>
      </c>
    </row>
    <row r="1011" spans="1:16" s="275" customFormat="1" x14ac:dyDescent="0.25">
      <c r="A1011" s="273">
        <v>13</v>
      </c>
      <c r="B1011" s="273">
        <v>13</v>
      </c>
      <c r="C1011" s="273" t="s">
        <v>1119</v>
      </c>
      <c r="D1011" s="273">
        <v>9</v>
      </c>
      <c r="E1011" s="273" t="s">
        <v>756</v>
      </c>
      <c r="F1011" s="273">
        <v>0</v>
      </c>
      <c r="G1011" s="273">
        <v>0</v>
      </c>
      <c r="H1011" s="273">
        <v>0</v>
      </c>
      <c r="I1011" s="274">
        <v>1834687.0815429599</v>
      </c>
      <c r="J1011" s="273" t="s">
        <v>343</v>
      </c>
      <c r="K1011" s="273" t="s">
        <v>344</v>
      </c>
      <c r="L1011" s="273" t="s">
        <v>227</v>
      </c>
      <c r="M1011" s="273" t="s">
        <v>228</v>
      </c>
      <c r="N1011" s="273" t="s">
        <v>730</v>
      </c>
      <c r="O1011" s="273" t="s">
        <v>11</v>
      </c>
      <c r="P1011" s="274"/>
    </row>
    <row r="1012" spans="1:16" x14ac:dyDescent="0.25">
      <c r="A1012" s="1"/>
      <c r="B1012" s="1"/>
      <c r="C1012" s="1"/>
      <c r="D1012" s="1"/>
      <c r="E1012" s="1"/>
      <c r="F1012" s="1"/>
      <c r="G1012" s="1"/>
      <c r="H1012" s="1"/>
      <c r="J1012" s="1"/>
      <c r="K1012" s="1"/>
      <c r="L1012" s="1"/>
      <c r="M1012" s="1"/>
      <c r="N1012" s="1"/>
      <c r="O1012" s="1"/>
    </row>
    <row r="1014" spans="1:16" x14ac:dyDescent="0.25">
      <c r="I1014" s="229">
        <f>SUM(I2:I1011)</f>
        <v>1303777200.0263665</v>
      </c>
    </row>
    <row r="1015" spans="1:16" x14ac:dyDescent="0.25">
      <c r="I1015" s="229">
        <f>I1014/10000</f>
        <v>130377.72000263665</v>
      </c>
    </row>
    <row r="1016" spans="1:16" x14ac:dyDescent="0.25">
      <c r="H1016" t="s">
        <v>1132</v>
      </c>
      <c r="I1016" s="229">
        <f>ZoneInondable2022!G871+ZoneInondable2022!G872+ZoneInondable2022!G873+ZoneInondable2022!G874+ZoneInondable2022!G875</f>
        <v>408.05525000000006</v>
      </c>
    </row>
    <row r="1017" spans="1:16" x14ac:dyDescent="0.25">
      <c r="I1017" s="229"/>
    </row>
    <row r="1018" spans="1:16" x14ac:dyDescent="0.25">
      <c r="I1018" s="229">
        <f>I1015+I1016+I1017</f>
        <v>130785.77525263665</v>
      </c>
    </row>
  </sheetData>
  <autoFilter ref="A1:P1011" xr:uid="{5B8C115B-45EC-431A-A100-A110BBA38FBC}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75A72B-7AA6-4909-8E98-53CA5688845D}">
  <dimension ref="A1:K285"/>
  <sheetViews>
    <sheetView workbookViewId="0">
      <selection activeCell="F22" sqref="F22"/>
    </sheetView>
  </sheetViews>
  <sheetFormatPr baseColWidth="10" defaultRowHeight="15" x14ac:dyDescent="0.25"/>
  <cols>
    <col min="1" max="1" width="10.7109375" style="1" customWidth="1"/>
    <col min="2" max="2" width="14.42578125" style="1" customWidth="1"/>
    <col min="3" max="3" width="10.7109375" style="1" customWidth="1"/>
    <col min="4" max="4" width="15.140625" style="229" customWidth="1"/>
    <col min="5" max="5" width="17" style="1" customWidth="1"/>
    <col min="6" max="6" width="30.7109375" style="1" customWidth="1"/>
    <col min="7" max="7" width="22.7109375" style="1" customWidth="1"/>
    <col min="8" max="8" width="34" style="1" customWidth="1"/>
    <col min="9" max="9" width="39.7109375" style="1" customWidth="1"/>
    <col min="10" max="10" width="24.140625" style="1" customWidth="1"/>
    <col min="11" max="11" width="25" style="1" customWidth="1"/>
  </cols>
  <sheetData>
    <row r="1" spans="1:11" x14ac:dyDescent="0.25">
      <c r="A1" s="1" t="s">
        <v>871</v>
      </c>
      <c r="B1" s="1" t="s">
        <v>1130</v>
      </c>
      <c r="C1" s="1" t="s">
        <v>872</v>
      </c>
      <c r="D1" s="229" t="s">
        <v>863</v>
      </c>
      <c r="E1" s="1" t="s">
        <v>0</v>
      </c>
      <c r="F1" s="1" t="s">
        <v>1</v>
      </c>
      <c r="G1" s="1" t="s">
        <v>2</v>
      </c>
      <c r="H1" s="1" t="s">
        <v>3</v>
      </c>
      <c r="I1" s="1" t="s">
        <v>4</v>
      </c>
      <c r="J1" s="1" t="s">
        <v>5</v>
      </c>
      <c r="K1" s="1" t="s">
        <v>6</v>
      </c>
    </row>
    <row r="2" spans="1:11" s="283" customFormat="1" x14ac:dyDescent="0.25">
      <c r="A2" s="282">
        <v>1</v>
      </c>
      <c r="B2" s="282" t="s">
        <v>756</v>
      </c>
      <c r="C2" s="282">
        <v>1</v>
      </c>
      <c r="D2" s="286">
        <v>18657022.604492102</v>
      </c>
      <c r="E2" s="282" t="s">
        <v>31</v>
      </c>
      <c r="F2" s="282" t="s">
        <v>32</v>
      </c>
      <c r="G2" s="282" t="s">
        <v>33</v>
      </c>
      <c r="H2" s="282" t="s">
        <v>34</v>
      </c>
      <c r="I2" s="282" t="s">
        <v>726</v>
      </c>
      <c r="J2" s="282" t="s">
        <v>35</v>
      </c>
      <c r="K2" s="282" t="s">
        <v>909</v>
      </c>
    </row>
    <row r="3" spans="1:11" s="283" customFormat="1" x14ac:dyDescent="0.25">
      <c r="A3" s="282">
        <v>1</v>
      </c>
      <c r="B3" s="282" t="s">
        <v>756</v>
      </c>
      <c r="C3" s="282">
        <v>1</v>
      </c>
      <c r="D3" s="286">
        <v>78910089.333007798</v>
      </c>
      <c r="E3" s="282" t="s">
        <v>153</v>
      </c>
      <c r="F3" s="282" t="s">
        <v>154</v>
      </c>
      <c r="G3" s="282" t="s">
        <v>80</v>
      </c>
      <c r="H3" s="282" t="s">
        <v>733</v>
      </c>
      <c r="I3" s="282" t="s">
        <v>15</v>
      </c>
      <c r="J3" s="282" t="s">
        <v>11</v>
      </c>
      <c r="K3" s="282" t="s">
        <v>911</v>
      </c>
    </row>
    <row r="4" spans="1:11" s="283" customFormat="1" x14ac:dyDescent="0.25">
      <c r="A4" s="282">
        <v>1</v>
      </c>
      <c r="B4" s="282" t="s">
        <v>756</v>
      </c>
      <c r="C4" s="282">
        <v>1</v>
      </c>
      <c r="D4" s="286">
        <v>1042864.57080078</v>
      </c>
      <c r="E4" s="282" t="s">
        <v>207</v>
      </c>
      <c r="F4" s="282" t="s">
        <v>208</v>
      </c>
      <c r="G4" s="282" t="s">
        <v>33</v>
      </c>
      <c r="H4" s="282" t="s">
        <v>34</v>
      </c>
      <c r="I4" s="282" t="s">
        <v>728</v>
      </c>
      <c r="J4" s="282" t="s">
        <v>11</v>
      </c>
      <c r="K4" s="282" t="s">
        <v>1062</v>
      </c>
    </row>
    <row r="5" spans="1:11" s="283" customFormat="1" x14ac:dyDescent="0.25">
      <c r="A5" s="282">
        <v>1</v>
      </c>
      <c r="B5" s="282" t="s">
        <v>756</v>
      </c>
      <c r="C5" s="282">
        <v>1</v>
      </c>
      <c r="D5" s="286">
        <v>2243563.23583984</v>
      </c>
      <c r="E5" s="282" t="s">
        <v>225</v>
      </c>
      <c r="F5" s="282" t="s">
        <v>226</v>
      </c>
      <c r="G5" s="282" t="s">
        <v>227</v>
      </c>
      <c r="H5" s="282" t="s">
        <v>228</v>
      </c>
      <c r="I5" s="282" t="s">
        <v>728</v>
      </c>
      <c r="J5" s="282" t="s">
        <v>11</v>
      </c>
      <c r="K5" s="282" t="s">
        <v>950</v>
      </c>
    </row>
    <row r="6" spans="1:11" s="283" customFormat="1" x14ac:dyDescent="0.25">
      <c r="A6" s="282">
        <v>1</v>
      </c>
      <c r="B6" s="282" t="s">
        <v>756</v>
      </c>
      <c r="C6" s="282">
        <v>1</v>
      </c>
      <c r="D6" s="286">
        <v>2067188.3212890599</v>
      </c>
      <c r="E6" s="282" t="s">
        <v>207</v>
      </c>
      <c r="F6" s="282" t="s">
        <v>208</v>
      </c>
      <c r="G6" s="282" t="s">
        <v>33</v>
      </c>
      <c r="H6" s="282" t="s">
        <v>34</v>
      </c>
      <c r="I6" s="282" t="s">
        <v>727</v>
      </c>
      <c r="J6" s="282" t="s">
        <v>11</v>
      </c>
      <c r="K6" s="282" t="s">
        <v>1065</v>
      </c>
    </row>
    <row r="7" spans="1:11" s="283" customFormat="1" x14ac:dyDescent="0.25">
      <c r="A7" s="282">
        <v>1</v>
      </c>
      <c r="B7" s="282" t="s">
        <v>756</v>
      </c>
      <c r="C7" s="282">
        <v>1</v>
      </c>
      <c r="D7" s="286">
        <v>10510943.765625</v>
      </c>
      <c r="E7" s="282" t="s">
        <v>225</v>
      </c>
      <c r="F7" s="282" t="s">
        <v>226</v>
      </c>
      <c r="G7" s="282" t="s">
        <v>227</v>
      </c>
      <c r="H7" s="282" t="s">
        <v>228</v>
      </c>
      <c r="I7" s="282" t="s">
        <v>727</v>
      </c>
      <c r="J7" s="282" t="s">
        <v>11</v>
      </c>
      <c r="K7" s="282" t="s">
        <v>957</v>
      </c>
    </row>
    <row r="8" spans="1:11" s="283" customFormat="1" x14ac:dyDescent="0.25">
      <c r="A8" s="282">
        <v>1</v>
      </c>
      <c r="B8" s="282" t="s">
        <v>756</v>
      </c>
      <c r="C8" s="282">
        <v>1</v>
      </c>
      <c r="D8" s="286">
        <v>2310930.21240234</v>
      </c>
      <c r="E8" s="282" t="s">
        <v>343</v>
      </c>
      <c r="F8" s="282" t="s">
        <v>344</v>
      </c>
      <c r="G8" s="282" t="s">
        <v>227</v>
      </c>
      <c r="H8" s="282" t="s">
        <v>228</v>
      </c>
      <c r="I8" s="282" t="s">
        <v>727</v>
      </c>
      <c r="J8" s="282" t="s">
        <v>11</v>
      </c>
      <c r="K8" s="282" t="s">
        <v>962</v>
      </c>
    </row>
    <row r="9" spans="1:11" s="283" customFormat="1" x14ac:dyDescent="0.25">
      <c r="A9" s="282">
        <v>1</v>
      </c>
      <c r="B9" s="282" t="s">
        <v>756</v>
      </c>
      <c r="C9" s="282">
        <v>1</v>
      </c>
      <c r="D9" s="286">
        <v>220401.46826171799</v>
      </c>
      <c r="E9" s="282" t="s">
        <v>361</v>
      </c>
      <c r="F9" s="282" t="s">
        <v>362</v>
      </c>
      <c r="G9" s="282" t="s">
        <v>33</v>
      </c>
      <c r="H9" s="282" t="s">
        <v>34</v>
      </c>
      <c r="I9" s="282" t="s">
        <v>728</v>
      </c>
      <c r="J9" s="282" t="s">
        <v>11</v>
      </c>
      <c r="K9" s="282" t="s">
        <v>916</v>
      </c>
    </row>
    <row r="10" spans="1:11" s="283" customFormat="1" x14ac:dyDescent="0.25">
      <c r="A10" s="282">
        <v>1</v>
      </c>
      <c r="B10" s="282" t="s">
        <v>756</v>
      </c>
      <c r="C10" s="282">
        <v>1</v>
      </c>
      <c r="D10" s="286">
        <v>2428306.27490234</v>
      </c>
      <c r="E10" s="282" t="s">
        <v>412</v>
      </c>
      <c r="F10" s="282" t="s">
        <v>413</v>
      </c>
      <c r="G10" s="282" t="s">
        <v>227</v>
      </c>
      <c r="H10" s="282" t="s">
        <v>228</v>
      </c>
      <c r="I10" s="282" t="s">
        <v>727</v>
      </c>
      <c r="J10" s="282" t="s">
        <v>11</v>
      </c>
      <c r="K10" s="282" t="s">
        <v>966</v>
      </c>
    </row>
    <row r="11" spans="1:11" s="283" customFormat="1" x14ac:dyDescent="0.25">
      <c r="A11" s="282">
        <v>1</v>
      </c>
      <c r="B11" s="282" t="s">
        <v>756</v>
      </c>
      <c r="C11" s="282">
        <v>1</v>
      </c>
      <c r="D11" s="286">
        <v>44979903.419433497</v>
      </c>
      <c r="E11" s="282" t="s">
        <v>412</v>
      </c>
      <c r="F11" s="282" t="s">
        <v>413</v>
      </c>
      <c r="G11" s="282" t="s">
        <v>227</v>
      </c>
      <c r="H11" s="282" t="s">
        <v>228</v>
      </c>
      <c r="I11" s="282" t="s">
        <v>15</v>
      </c>
      <c r="J11" s="282" t="s">
        <v>11</v>
      </c>
      <c r="K11" s="282" t="s">
        <v>968</v>
      </c>
    </row>
    <row r="12" spans="1:11" s="283" customFormat="1" x14ac:dyDescent="0.25">
      <c r="A12" s="282">
        <v>1</v>
      </c>
      <c r="B12" s="282" t="s">
        <v>756</v>
      </c>
      <c r="C12" s="282">
        <v>1</v>
      </c>
      <c r="D12" s="286">
        <v>1268027.3081054599</v>
      </c>
      <c r="E12" s="282" t="s">
        <v>412</v>
      </c>
      <c r="F12" s="282" t="s">
        <v>413</v>
      </c>
      <c r="G12" s="282" t="s">
        <v>227</v>
      </c>
      <c r="H12" s="282" t="s">
        <v>228</v>
      </c>
      <c r="I12" s="282" t="s">
        <v>728</v>
      </c>
      <c r="J12" s="282" t="s">
        <v>11</v>
      </c>
      <c r="K12" s="282" t="s">
        <v>971</v>
      </c>
    </row>
    <row r="13" spans="1:11" s="283" customFormat="1" x14ac:dyDescent="0.25">
      <c r="A13" s="282">
        <v>1</v>
      </c>
      <c r="B13" s="282" t="s">
        <v>756</v>
      </c>
      <c r="C13" s="282">
        <v>1</v>
      </c>
      <c r="D13" s="286">
        <v>1864758.01953125</v>
      </c>
      <c r="E13" s="282" t="s">
        <v>498</v>
      </c>
      <c r="F13" s="282" t="s">
        <v>499</v>
      </c>
      <c r="G13" s="282" t="s">
        <v>33</v>
      </c>
      <c r="H13" s="282" t="s">
        <v>34</v>
      </c>
      <c r="I13" s="282" t="s">
        <v>727</v>
      </c>
      <c r="J13" s="282" t="s">
        <v>11</v>
      </c>
      <c r="K13" s="282" t="s">
        <v>918</v>
      </c>
    </row>
    <row r="14" spans="1:11" s="283" customFormat="1" x14ac:dyDescent="0.25">
      <c r="A14" s="282">
        <v>1</v>
      </c>
      <c r="B14" s="282" t="s">
        <v>756</v>
      </c>
      <c r="C14" s="282">
        <v>1</v>
      </c>
      <c r="D14" s="286">
        <v>75681445.393066302</v>
      </c>
      <c r="E14" s="282" t="s">
        <v>225</v>
      </c>
      <c r="F14" s="282" t="s">
        <v>226</v>
      </c>
      <c r="G14" s="282" t="s">
        <v>227</v>
      </c>
      <c r="H14" s="282" t="s">
        <v>228</v>
      </c>
      <c r="I14" s="282" t="s">
        <v>15</v>
      </c>
      <c r="J14" s="282" t="s">
        <v>11</v>
      </c>
      <c r="K14" s="282" t="s">
        <v>980</v>
      </c>
    </row>
    <row r="15" spans="1:11" s="283" customFormat="1" x14ac:dyDescent="0.25">
      <c r="A15" s="282">
        <v>1</v>
      </c>
      <c r="B15" s="282" t="s">
        <v>756</v>
      </c>
      <c r="C15" s="282">
        <v>1</v>
      </c>
      <c r="D15" s="286">
        <v>46356595.651855402</v>
      </c>
      <c r="E15" s="282" t="s">
        <v>343</v>
      </c>
      <c r="F15" s="282" t="s">
        <v>344</v>
      </c>
      <c r="G15" s="282" t="s">
        <v>227</v>
      </c>
      <c r="H15" s="282" t="s">
        <v>228</v>
      </c>
      <c r="I15" s="282" t="s">
        <v>15</v>
      </c>
      <c r="J15" s="282" t="s">
        <v>11</v>
      </c>
      <c r="K15" s="282" t="s">
        <v>986</v>
      </c>
    </row>
    <row r="16" spans="1:11" s="283" customFormat="1" x14ac:dyDescent="0.25">
      <c r="A16" s="282">
        <v>1</v>
      </c>
      <c r="B16" s="282" t="s">
        <v>756</v>
      </c>
      <c r="C16" s="282">
        <v>1</v>
      </c>
      <c r="D16" s="286">
        <v>966596.58105468703</v>
      </c>
      <c r="E16" s="282" t="s">
        <v>498</v>
      </c>
      <c r="F16" s="282" t="s">
        <v>499</v>
      </c>
      <c r="G16" s="282" t="s">
        <v>33</v>
      </c>
      <c r="H16" s="282" t="s">
        <v>34</v>
      </c>
      <c r="I16" s="282" t="s">
        <v>728</v>
      </c>
      <c r="J16" s="282" t="s">
        <v>11</v>
      </c>
      <c r="K16" s="282" t="s">
        <v>924</v>
      </c>
    </row>
    <row r="17" spans="1:11" s="283" customFormat="1" x14ac:dyDescent="0.25">
      <c r="A17" s="282">
        <v>1</v>
      </c>
      <c r="B17" s="282" t="s">
        <v>756</v>
      </c>
      <c r="C17" s="282">
        <v>1</v>
      </c>
      <c r="D17" s="286">
        <v>1246087.1894531201</v>
      </c>
      <c r="E17" s="282" t="s">
        <v>343</v>
      </c>
      <c r="F17" s="282" t="s">
        <v>344</v>
      </c>
      <c r="G17" s="282" t="s">
        <v>227</v>
      </c>
      <c r="H17" s="282" t="s">
        <v>228</v>
      </c>
      <c r="I17" s="282" t="s">
        <v>728</v>
      </c>
      <c r="J17" s="282" t="s">
        <v>11</v>
      </c>
      <c r="K17" s="282" t="s">
        <v>995</v>
      </c>
    </row>
    <row r="18" spans="1:11" s="283" customFormat="1" x14ac:dyDescent="0.25">
      <c r="A18" s="282">
        <v>1</v>
      </c>
      <c r="B18" s="282" t="s">
        <v>756</v>
      </c>
      <c r="C18" s="282">
        <v>1</v>
      </c>
      <c r="D18" s="286">
        <v>67418658.059570298</v>
      </c>
      <c r="E18" s="282" t="s">
        <v>498</v>
      </c>
      <c r="F18" s="282" t="s">
        <v>499</v>
      </c>
      <c r="G18" s="282" t="s">
        <v>33</v>
      </c>
      <c r="H18" s="282" t="s">
        <v>34</v>
      </c>
      <c r="I18" s="282" t="s">
        <v>15</v>
      </c>
      <c r="J18" s="282" t="s">
        <v>11</v>
      </c>
      <c r="K18" s="282" t="s">
        <v>926</v>
      </c>
    </row>
    <row r="19" spans="1:11" s="283" customFormat="1" x14ac:dyDescent="0.25">
      <c r="A19" s="282">
        <v>1</v>
      </c>
      <c r="B19" s="282" t="s">
        <v>756</v>
      </c>
      <c r="C19" s="282">
        <v>1</v>
      </c>
      <c r="D19" s="286">
        <v>2413286.8510742099</v>
      </c>
      <c r="E19" s="282" t="s">
        <v>343</v>
      </c>
      <c r="F19" s="282" t="s">
        <v>344</v>
      </c>
      <c r="G19" s="282" t="s">
        <v>227</v>
      </c>
      <c r="H19" s="282" t="s">
        <v>228</v>
      </c>
      <c r="I19" s="282" t="s">
        <v>730</v>
      </c>
      <c r="J19" s="282" t="s">
        <v>11</v>
      </c>
      <c r="K19" s="282" t="s">
        <v>1003</v>
      </c>
    </row>
    <row r="20" spans="1:11" s="283" customFormat="1" x14ac:dyDescent="0.25">
      <c r="A20" s="282">
        <v>1</v>
      </c>
      <c r="B20" s="282" t="s">
        <v>756</v>
      </c>
      <c r="C20" s="282">
        <v>1</v>
      </c>
      <c r="D20" s="286">
        <v>7949760.4399413997</v>
      </c>
      <c r="E20" s="282" t="s">
        <v>207</v>
      </c>
      <c r="F20" s="282" t="s">
        <v>208</v>
      </c>
      <c r="G20" s="282" t="s">
        <v>33</v>
      </c>
      <c r="H20" s="282" t="s">
        <v>34</v>
      </c>
      <c r="I20" s="282" t="s">
        <v>15</v>
      </c>
      <c r="J20" s="282" t="s">
        <v>11</v>
      </c>
      <c r="K20" s="282" t="s">
        <v>1010</v>
      </c>
    </row>
    <row r="21" spans="1:11" s="283" customFormat="1" x14ac:dyDescent="0.25">
      <c r="A21" s="282">
        <v>1</v>
      </c>
      <c r="B21" s="282" t="s">
        <v>756</v>
      </c>
      <c r="C21" s="282">
        <v>1</v>
      </c>
      <c r="D21" s="286">
        <v>1473637.7231445301</v>
      </c>
      <c r="E21" s="282" t="s">
        <v>361</v>
      </c>
      <c r="F21" s="282" t="s">
        <v>362</v>
      </c>
      <c r="G21" s="282" t="s">
        <v>33</v>
      </c>
      <c r="H21" s="282" t="s">
        <v>34</v>
      </c>
      <c r="I21" s="282" t="s">
        <v>15</v>
      </c>
      <c r="J21" s="282" t="s">
        <v>11</v>
      </c>
      <c r="K21" s="282" t="s">
        <v>929</v>
      </c>
    </row>
    <row r="22" spans="1:11" s="283" customFormat="1" x14ac:dyDescent="0.25">
      <c r="A22" s="282">
        <v>1</v>
      </c>
      <c r="B22" s="282" t="s">
        <v>756</v>
      </c>
      <c r="C22" s="282">
        <v>1</v>
      </c>
      <c r="D22" s="286">
        <v>451615.51904296799</v>
      </c>
      <c r="E22" s="282" t="s">
        <v>31</v>
      </c>
      <c r="F22" s="282" t="s">
        <v>32</v>
      </c>
      <c r="G22" s="282" t="s">
        <v>33</v>
      </c>
      <c r="H22" s="282" t="s">
        <v>34</v>
      </c>
      <c r="I22" s="282" t="s">
        <v>726</v>
      </c>
      <c r="J22" s="282" t="s">
        <v>105</v>
      </c>
      <c r="K22" s="282" t="s">
        <v>1107</v>
      </c>
    </row>
    <row r="23" spans="1:11" s="283" customFormat="1" x14ac:dyDescent="0.25">
      <c r="A23" s="282">
        <v>1</v>
      </c>
      <c r="B23" s="282" t="s">
        <v>756</v>
      </c>
      <c r="C23" s="282">
        <v>1</v>
      </c>
      <c r="D23" s="286">
        <v>133954.44140625</v>
      </c>
      <c r="E23" s="282" t="s">
        <v>361</v>
      </c>
      <c r="F23" s="282" t="s">
        <v>362</v>
      </c>
      <c r="G23" s="282" t="s">
        <v>33</v>
      </c>
      <c r="H23" s="282" t="s">
        <v>34</v>
      </c>
      <c r="I23" s="282" t="s">
        <v>727</v>
      </c>
      <c r="J23" s="282" t="s">
        <v>11</v>
      </c>
      <c r="K23" s="282" t="s">
        <v>934</v>
      </c>
    </row>
    <row r="24" spans="1:11" s="283" customFormat="1" x14ac:dyDescent="0.25">
      <c r="A24" s="282">
        <v>1</v>
      </c>
      <c r="B24" s="282" t="s">
        <v>756</v>
      </c>
      <c r="C24" s="282">
        <v>1</v>
      </c>
      <c r="D24" s="286">
        <v>797337.67529296805</v>
      </c>
      <c r="E24" s="282" t="s">
        <v>153</v>
      </c>
      <c r="F24" s="282" t="s">
        <v>154</v>
      </c>
      <c r="G24" s="282" t="s">
        <v>80</v>
      </c>
      <c r="H24" s="282" t="s">
        <v>733</v>
      </c>
      <c r="I24" s="282" t="s">
        <v>728</v>
      </c>
      <c r="J24" s="282" t="s">
        <v>11</v>
      </c>
      <c r="K24" s="282" t="s">
        <v>935</v>
      </c>
    </row>
    <row r="25" spans="1:11" s="283" customFormat="1" x14ac:dyDescent="0.25">
      <c r="A25" s="282">
        <v>1</v>
      </c>
      <c r="B25" s="282" t="s">
        <v>756</v>
      </c>
      <c r="C25" s="282">
        <v>1</v>
      </c>
      <c r="D25" s="286">
        <v>1341955.9340820301</v>
      </c>
      <c r="E25" s="282" t="s">
        <v>153</v>
      </c>
      <c r="F25" s="282" t="s">
        <v>154</v>
      </c>
      <c r="G25" s="282" t="s">
        <v>80</v>
      </c>
      <c r="H25" s="282" t="s">
        <v>733</v>
      </c>
      <c r="I25" s="282" t="s">
        <v>727</v>
      </c>
      <c r="J25" s="282" t="s">
        <v>11</v>
      </c>
      <c r="K25" s="282" t="s">
        <v>936</v>
      </c>
    </row>
    <row r="26" spans="1:11" s="218" customFormat="1" x14ac:dyDescent="0.25">
      <c r="A26" s="265">
        <v>2</v>
      </c>
      <c r="B26" s="265" t="s">
        <v>758</v>
      </c>
      <c r="C26" s="265">
        <v>2</v>
      </c>
      <c r="D26" s="289">
        <v>781556.73730468703</v>
      </c>
      <c r="E26" s="265" t="s">
        <v>7</v>
      </c>
      <c r="F26" s="265" t="s">
        <v>8</v>
      </c>
      <c r="G26" s="265" t="s">
        <v>9</v>
      </c>
      <c r="H26" s="265" t="s">
        <v>10</v>
      </c>
      <c r="I26" s="265" t="s">
        <v>728</v>
      </c>
      <c r="J26" s="265" t="s">
        <v>11</v>
      </c>
      <c r="K26" s="265" t="s">
        <v>1048</v>
      </c>
    </row>
    <row r="27" spans="1:11" s="28" customFormat="1" x14ac:dyDescent="0.25">
      <c r="A27" s="86">
        <v>2</v>
      </c>
      <c r="B27" s="86" t="s">
        <v>758</v>
      </c>
      <c r="C27" s="86">
        <v>2</v>
      </c>
      <c r="D27" s="290">
        <v>18598287.313476499</v>
      </c>
      <c r="E27" s="86" t="s">
        <v>31</v>
      </c>
      <c r="F27" s="86" t="s">
        <v>32</v>
      </c>
      <c r="G27" s="86" t="s">
        <v>33</v>
      </c>
      <c r="H27" s="86" t="s">
        <v>34</v>
      </c>
      <c r="I27" s="86" t="s">
        <v>726</v>
      </c>
      <c r="J27" s="86" t="s">
        <v>35</v>
      </c>
      <c r="K27" s="86" t="s">
        <v>909</v>
      </c>
    </row>
    <row r="28" spans="1:11" s="218" customFormat="1" x14ac:dyDescent="0.25">
      <c r="A28" s="265">
        <v>2</v>
      </c>
      <c r="B28" s="265" t="s">
        <v>758</v>
      </c>
      <c r="C28" s="265">
        <v>2</v>
      </c>
      <c r="D28" s="289">
        <v>1090795.9003906201</v>
      </c>
      <c r="E28" s="265" t="s">
        <v>36</v>
      </c>
      <c r="F28" s="265" t="s">
        <v>37</v>
      </c>
      <c r="G28" s="265" t="s">
        <v>9</v>
      </c>
      <c r="H28" s="265" t="s">
        <v>10</v>
      </c>
      <c r="I28" s="265" t="s">
        <v>728</v>
      </c>
      <c r="J28" s="265" t="s">
        <v>11</v>
      </c>
      <c r="K28" s="265" t="s">
        <v>1049</v>
      </c>
    </row>
    <row r="29" spans="1:11" s="129" customFormat="1" x14ac:dyDescent="0.25">
      <c r="A29" s="130">
        <v>2</v>
      </c>
      <c r="B29" s="130" t="s">
        <v>758</v>
      </c>
      <c r="C29" s="130">
        <v>2</v>
      </c>
      <c r="D29" s="284">
        <v>2912004.6684570299</v>
      </c>
      <c r="E29" s="130" t="s">
        <v>44</v>
      </c>
      <c r="F29" s="130" t="s">
        <v>45</v>
      </c>
      <c r="G29" s="130" t="s">
        <v>46</v>
      </c>
      <c r="H29" s="130" t="s">
        <v>739</v>
      </c>
      <c r="I29" s="130" t="s">
        <v>15</v>
      </c>
      <c r="J29" s="130" t="s">
        <v>11</v>
      </c>
      <c r="K29" s="130" t="s">
        <v>1050</v>
      </c>
    </row>
    <row r="30" spans="1:11" s="218" customFormat="1" x14ac:dyDescent="0.25">
      <c r="A30" s="265">
        <v>2</v>
      </c>
      <c r="B30" s="265" t="s">
        <v>758</v>
      </c>
      <c r="C30" s="265">
        <v>2</v>
      </c>
      <c r="D30" s="289">
        <v>159813.744140625</v>
      </c>
      <c r="E30" s="265" t="s">
        <v>57</v>
      </c>
      <c r="F30" s="265" t="s">
        <v>58</v>
      </c>
      <c r="G30" s="265" t="s">
        <v>46</v>
      </c>
      <c r="H30" s="265" t="s">
        <v>739</v>
      </c>
      <c r="I30" s="265" t="s">
        <v>728</v>
      </c>
      <c r="J30" s="265" t="s">
        <v>11</v>
      </c>
      <c r="K30" s="265" t="s">
        <v>942</v>
      </c>
    </row>
    <row r="31" spans="1:11" s="129" customFormat="1" x14ac:dyDescent="0.25">
      <c r="A31" s="130">
        <v>2</v>
      </c>
      <c r="B31" s="130" t="s">
        <v>758</v>
      </c>
      <c r="C31" s="130">
        <v>2</v>
      </c>
      <c r="D31" s="284">
        <v>2457304.73730468</v>
      </c>
      <c r="E31" s="130" t="s">
        <v>59</v>
      </c>
      <c r="F31" s="130" t="s">
        <v>60</v>
      </c>
      <c r="G31" s="130" t="s">
        <v>9</v>
      </c>
      <c r="H31" s="130" t="s">
        <v>10</v>
      </c>
      <c r="I31" s="130" t="s">
        <v>15</v>
      </c>
      <c r="J31" s="130" t="s">
        <v>11</v>
      </c>
      <c r="K31" s="130" t="s">
        <v>1051</v>
      </c>
    </row>
    <row r="32" spans="1:11" s="218" customFormat="1" x14ac:dyDescent="0.25">
      <c r="A32" s="265">
        <v>2</v>
      </c>
      <c r="B32" s="265" t="s">
        <v>758</v>
      </c>
      <c r="C32" s="265">
        <v>2</v>
      </c>
      <c r="D32" s="289">
        <v>948893.02587890602</v>
      </c>
      <c r="E32" s="265" t="s">
        <v>83</v>
      </c>
      <c r="F32" s="265" t="s">
        <v>84</v>
      </c>
      <c r="G32" s="265" t="s">
        <v>80</v>
      </c>
      <c r="H32" s="265" t="s">
        <v>733</v>
      </c>
      <c r="I32" s="265" t="s">
        <v>728</v>
      </c>
      <c r="J32" s="265" t="s">
        <v>11</v>
      </c>
      <c r="K32" s="265" t="s">
        <v>910</v>
      </c>
    </row>
    <row r="33" spans="1:11" s="129" customFormat="1" x14ac:dyDescent="0.25">
      <c r="A33" s="130">
        <v>2</v>
      </c>
      <c r="B33" s="130" t="s">
        <v>758</v>
      </c>
      <c r="C33" s="130">
        <v>2</v>
      </c>
      <c r="D33" s="284">
        <v>3564095.43652343</v>
      </c>
      <c r="E33" s="130" t="s">
        <v>87</v>
      </c>
      <c r="F33" s="130" t="s">
        <v>88</v>
      </c>
      <c r="G33" s="130" t="s">
        <v>80</v>
      </c>
      <c r="H33" s="130" t="s">
        <v>733</v>
      </c>
      <c r="I33" s="130" t="s">
        <v>15</v>
      </c>
      <c r="J33" s="130" t="s">
        <v>11</v>
      </c>
      <c r="K33" s="130" t="s">
        <v>1052</v>
      </c>
    </row>
    <row r="34" spans="1:11" s="129" customFormat="1" x14ac:dyDescent="0.25">
      <c r="A34" s="130">
        <v>2</v>
      </c>
      <c r="B34" s="130" t="s">
        <v>758</v>
      </c>
      <c r="C34" s="130">
        <v>2</v>
      </c>
      <c r="D34" s="284">
        <v>1453035.20996093</v>
      </c>
      <c r="E34" s="130" t="s">
        <v>101</v>
      </c>
      <c r="F34" s="130" t="s">
        <v>102</v>
      </c>
      <c r="G34" s="130" t="s">
        <v>9</v>
      </c>
      <c r="H34" s="130" t="s">
        <v>10</v>
      </c>
      <c r="I34" s="130" t="s">
        <v>15</v>
      </c>
      <c r="J34" s="130" t="s">
        <v>11</v>
      </c>
      <c r="K34" s="130" t="s">
        <v>1053</v>
      </c>
    </row>
    <row r="35" spans="1:11" s="264" customFormat="1" x14ac:dyDescent="0.25">
      <c r="A35" s="262">
        <v>2</v>
      </c>
      <c r="B35" s="262" t="s">
        <v>758</v>
      </c>
      <c r="C35" s="262">
        <v>2</v>
      </c>
      <c r="D35" s="285">
        <v>636228.37988281203</v>
      </c>
      <c r="E35" s="262" t="s">
        <v>116</v>
      </c>
      <c r="F35" s="262" t="s">
        <v>117</v>
      </c>
      <c r="G35" s="262" t="s">
        <v>80</v>
      </c>
      <c r="H35" s="262" t="s">
        <v>733</v>
      </c>
      <c r="I35" s="262" t="s">
        <v>727</v>
      </c>
      <c r="J35" s="262" t="s">
        <v>11</v>
      </c>
      <c r="K35" s="262" t="s">
        <v>881</v>
      </c>
    </row>
    <row r="36" spans="1:11" s="129" customFormat="1" x14ac:dyDescent="0.25">
      <c r="A36" s="130">
        <v>2</v>
      </c>
      <c r="B36" s="130" t="s">
        <v>758</v>
      </c>
      <c r="C36" s="130">
        <v>2</v>
      </c>
      <c r="D36" s="284">
        <v>3908626.1743164002</v>
      </c>
      <c r="E36" s="130" t="s">
        <v>126</v>
      </c>
      <c r="F36" s="130" t="s">
        <v>127</v>
      </c>
      <c r="G36" s="130" t="s">
        <v>9</v>
      </c>
      <c r="H36" s="130" t="s">
        <v>10</v>
      </c>
      <c r="I36" s="130" t="s">
        <v>15</v>
      </c>
      <c r="J36" s="130" t="s">
        <v>11</v>
      </c>
      <c r="K36" s="130" t="s">
        <v>1054</v>
      </c>
    </row>
    <row r="37" spans="1:11" s="129" customFormat="1" x14ac:dyDescent="0.25">
      <c r="A37" s="130">
        <v>2</v>
      </c>
      <c r="B37" s="130" t="s">
        <v>758</v>
      </c>
      <c r="C37" s="130">
        <v>2</v>
      </c>
      <c r="D37" s="284">
        <v>6409151.5659179604</v>
      </c>
      <c r="E37" s="130" t="s">
        <v>153</v>
      </c>
      <c r="F37" s="130" t="s">
        <v>154</v>
      </c>
      <c r="G37" s="130" t="s">
        <v>80</v>
      </c>
      <c r="H37" s="130" t="s">
        <v>733</v>
      </c>
      <c r="I37" s="130" t="s">
        <v>15</v>
      </c>
      <c r="J37" s="130" t="s">
        <v>11</v>
      </c>
      <c r="K37" s="130" t="s">
        <v>911</v>
      </c>
    </row>
    <row r="38" spans="1:11" s="264" customFormat="1" x14ac:dyDescent="0.25">
      <c r="A38" s="262">
        <v>2</v>
      </c>
      <c r="B38" s="262" t="s">
        <v>758</v>
      </c>
      <c r="C38" s="262">
        <v>2</v>
      </c>
      <c r="D38" s="285">
        <v>3397872.6665039002</v>
      </c>
      <c r="E38" s="262" t="s">
        <v>87</v>
      </c>
      <c r="F38" s="262" t="s">
        <v>88</v>
      </c>
      <c r="G38" s="262" t="s">
        <v>80</v>
      </c>
      <c r="H38" s="262" t="s">
        <v>733</v>
      </c>
      <c r="I38" s="262" t="s">
        <v>727</v>
      </c>
      <c r="J38" s="262" t="s">
        <v>11</v>
      </c>
      <c r="K38" s="262" t="s">
        <v>1055</v>
      </c>
    </row>
    <row r="39" spans="1:11" s="278" customFormat="1" x14ac:dyDescent="0.25">
      <c r="A39" s="276">
        <v>2</v>
      </c>
      <c r="B39" s="276" t="s">
        <v>758</v>
      </c>
      <c r="C39" s="276">
        <v>2</v>
      </c>
      <c r="D39" s="291">
        <v>163.57421875</v>
      </c>
      <c r="E39" s="276" t="s">
        <v>116</v>
      </c>
      <c r="F39" s="276" t="s">
        <v>117</v>
      </c>
      <c r="G39" s="276" t="s">
        <v>80</v>
      </c>
      <c r="H39" s="276" t="s">
        <v>733</v>
      </c>
      <c r="I39" s="276" t="s">
        <v>729</v>
      </c>
      <c r="J39" s="276" t="s">
        <v>11</v>
      </c>
      <c r="K39" s="276" t="s">
        <v>1056</v>
      </c>
    </row>
    <row r="40" spans="1:11" s="264" customFormat="1" x14ac:dyDescent="0.25">
      <c r="A40" s="262">
        <v>2</v>
      </c>
      <c r="B40" s="262" t="s">
        <v>758</v>
      </c>
      <c r="C40" s="262">
        <v>2</v>
      </c>
      <c r="D40" s="285">
        <v>1813129.2978515599</v>
      </c>
      <c r="E40" s="262" t="s">
        <v>167</v>
      </c>
      <c r="F40" s="262" t="s">
        <v>168</v>
      </c>
      <c r="G40" s="262" t="s">
        <v>33</v>
      </c>
      <c r="H40" s="262" t="s">
        <v>34</v>
      </c>
      <c r="I40" s="262" t="s">
        <v>727</v>
      </c>
      <c r="J40" s="262" t="s">
        <v>11</v>
      </c>
      <c r="K40" s="262" t="s">
        <v>1057</v>
      </c>
    </row>
    <row r="41" spans="1:11" s="218" customFormat="1" x14ac:dyDescent="0.25">
      <c r="A41" s="265">
        <v>2</v>
      </c>
      <c r="B41" s="265" t="s">
        <v>758</v>
      </c>
      <c r="C41" s="265">
        <v>2</v>
      </c>
      <c r="D41" s="289">
        <v>193096.00732421799</v>
      </c>
      <c r="E41" s="265" t="s">
        <v>173</v>
      </c>
      <c r="F41" s="265" t="s">
        <v>174</v>
      </c>
      <c r="G41" s="265" t="s">
        <v>9</v>
      </c>
      <c r="H41" s="265" t="s">
        <v>10</v>
      </c>
      <c r="I41" s="265" t="s">
        <v>728</v>
      </c>
      <c r="J41" s="265" t="s">
        <v>11</v>
      </c>
      <c r="K41" s="265" t="s">
        <v>1058</v>
      </c>
    </row>
    <row r="42" spans="1:11" s="264" customFormat="1" x14ac:dyDescent="0.25">
      <c r="A42" s="262">
        <v>2</v>
      </c>
      <c r="B42" s="262" t="s">
        <v>758</v>
      </c>
      <c r="C42" s="262">
        <v>2</v>
      </c>
      <c r="D42" s="285">
        <v>962172.65771484305</v>
      </c>
      <c r="E42" s="262" t="s">
        <v>175</v>
      </c>
      <c r="F42" s="262" t="s">
        <v>176</v>
      </c>
      <c r="G42" s="262" t="s">
        <v>80</v>
      </c>
      <c r="H42" s="262" t="s">
        <v>733</v>
      </c>
      <c r="I42" s="262" t="s">
        <v>727</v>
      </c>
      <c r="J42" s="262" t="s">
        <v>11</v>
      </c>
      <c r="K42" s="262" t="s">
        <v>912</v>
      </c>
    </row>
    <row r="43" spans="1:11" s="218" customFormat="1" x14ac:dyDescent="0.25">
      <c r="A43" s="265">
        <v>2</v>
      </c>
      <c r="B43" s="265" t="s">
        <v>758</v>
      </c>
      <c r="C43" s="265">
        <v>2</v>
      </c>
      <c r="D43" s="289">
        <v>467332.59521484299</v>
      </c>
      <c r="E43" s="265" t="s">
        <v>185</v>
      </c>
      <c r="F43" s="265" t="s">
        <v>186</v>
      </c>
      <c r="G43" s="265" t="s">
        <v>80</v>
      </c>
      <c r="H43" s="265" t="s">
        <v>733</v>
      </c>
      <c r="I43" s="265" t="s">
        <v>728</v>
      </c>
      <c r="J43" s="265" t="s">
        <v>11</v>
      </c>
      <c r="K43" s="265" t="s">
        <v>1059</v>
      </c>
    </row>
    <row r="44" spans="1:11" s="278" customFormat="1" x14ac:dyDescent="0.25">
      <c r="A44" s="276">
        <v>2</v>
      </c>
      <c r="B44" s="276" t="s">
        <v>758</v>
      </c>
      <c r="C44" s="276">
        <v>2</v>
      </c>
      <c r="D44" s="291">
        <v>13292.235839843701</v>
      </c>
      <c r="E44" s="276" t="s">
        <v>87</v>
      </c>
      <c r="F44" s="276" t="s">
        <v>88</v>
      </c>
      <c r="G44" s="276" t="s">
        <v>80</v>
      </c>
      <c r="H44" s="276" t="s">
        <v>733</v>
      </c>
      <c r="I44" s="276" t="s">
        <v>729</v>
      </c>
      <c r="J44" s="276" t="s">
        <v>11</v>
      </c>
      <c r="K44" s="276" t="s">
        <v>1060</v>
      </c>
    </row>
    <row r="45" spans="1:11" s="129" customFormat="1" x14ac:dyDescent="0.25">
      <c r="A45" s="130">
        <v>2</v>
      </c>
      <c r="B45" s="130" t="s">
        <v>758</v>
      </c>
      <c r="C45" s="130">
        <v>2</v>
      </c>
      <c r="D45" s="284">
        <v>1141479.1767578099</v>
      </c>
      <c r="E45" s="130" t="s">
        <v>203</v>
      </c>
      <c r="F45" s="130" t="s">
        <v>204</v>
      </c>
      <c r="G45" s="130" t="s">
        <v>80</v>
      </c>
      <c r="H45" s="130" t="s">
        <v>733</v>
      </c>
      <c r="I45" s="130" t="s">
        <v>15</v>
      </c>
      <c r="J45" s="130" t="s">
        <v>11</v>
      </c>
      <c r="K45" s="130" t="s">
        <v>1061</v>
      </c>
    </row>
    <row r="46" spans="1:11" s="218" customFormat="1" x14ac:dyDescent="0.25">
      <c r="A46" s="265">
        <v>2</v>
      </c>
      <c r="B46" s="265" t="s">
        <v>758</v>
      </c>
      <c r="C46" s="265">
        <v>2</v>
      </c>
      <c r="D46" s="289">
        <v>2734559.3017578102</v>
      </c>
      <c r="E46" s="265" t="s">
        <v>207</v>
      </c>
      <c r="F46" s="265" t="s">
        <v>208</v>
      </c>
      <c r="G46" s="265" t="s">
        <v>33</v>
      </c>
      <c r="H46" s="265" t="s">
        <v>34</v>
      </c>
      <c r="I46" s="265" t="s">
        <v>728</v>
      </c>
      <c r="J46" s="265" t="s">
        <v>11</v>
      </c>
      <c r="K46" s="265" t="s">
        <v>1062</v>
      </c>
    </row>
    <row r="47" spans="1:11" s="129" customFormat="1" x14ac:dyDescent="0.25">
      <c r="A47" s="130">
        <v>2</v>
      </c>
      <c r="B47" s="130" t="s">
        <v>758</v>
      </c>
      <c r="C47" s="130">
        <v>2</v>
      </c>
      <c r="D47" s="284">
        <v>894775.78564453102</v>
      </c>
      <c r="E47" s="130" t="s">
        <v>116</v>
      </c>
      <c r="F47" s="130" t="s">
        <v>117</v>
      </c>
      <c r="G47" s="130" t="s">
        <v>80</v>
      </c>
      <c r="H47" s="130" t="s">
        <v>733</v>
      </c>
      <c r="I47" s="130" t="s">
        <v>15</v>
      </c>
      <c r="J47" s="130" t="s">
        <v>11</v>
      </c>
      <c r="K47" s="130" t="s">
        <v>884</v>
      </c>
    </row>
    <row r="48" spans="1:11" s="218" customFormat="1" x14ac:dyDescent="0.25">
      <c r="A48" s="265">
        <v>2</v>
      </c>
      <c r="B48" s="265" t="s">
        <v>758</v>
      </c>
      <c r="C48" s="265">
        <v>2</v>
      </c>
      <c r="D48" s="289">
        <v>907980.64160156203</v>
      </c>
      <c r="E48" s="265" t="s">
        <v>221</v>
      </c>
      <c r="F48" s="265" t="s">
        <v>222</v>
      </c>
      <c r="G48" s="265" t="s">
        <v>80</v>
      </c>
      <c r="H48" s="265" t="s">
        <v>733</v>
      </c>
      <c r="I48" s="265" t="s">
        <v>728</v>
      </c>
      <c r="J48" s="265" t="s">
        <v>11</v>
      </c>
      <c r="K48" s="265" t="s">
        <v>885</v>
      </c>
    </row>
    <row r="49" spans="1:11" s="264" customFormat="1" x14ac:dyDescent="0.25">
      <c r="A49" s="262">
        <v>2</v>
      </c>
      <c r="B49" s="262" t="s">
        <v>758</v>
      </c>
      <c r="C49" s="262">
        <v>2</v>
      </c>
      <c r="D49" s="285">
        <v>332787.41943359299</v>
      </c>
      <c r="E49" s="262" t="s">
        <v>223</v>
      </c>
      <c r="F49" s="262" t="s">
        <v>224</v>
      </c>
      <c r="G49" s="262" t="s">
        <v>80</v>
      </c>
      <c r="H49" s="262" t="s">
        <v>733</v>
      </c>
      <c r="I49" s="262" t="s">
        <v>727</v>
      </c>
      <c r="J49" s="262" t="s">
        <v>11</v>
      </c>
      <c r="K49" s="262" t="s">
        <v>1063</v>
      </c>
    </row>
    <row r="50" spans="1:11" s="218" customFormat="1" x14ac:dyDescent="0.25">
      <c r="A50" s="265">
        <v>2</v>
      </c>
      <c r="B50" s="265" t="s">
        <v>758</v>
      </c>
      <c r="C50" s="265">
        <v>2</v>
      </c>
      <c r="D50" s="289">
        <v>2231089.25927734</v>
      </c>
      <c r="E50" s="265" t="s">
        <v>225</v>
      </c>
      <c r="F50" s="265" t="s">
        <v>226</v>
      </c>
      <c r="G50" s="265" t="s">
        <v>227</v>
      </c>
      <c r="H50" s="265" t="s">
        <v>228</v>
      </c>
      <c r="I50" s="265" t="s">
        <v>728</v>
      </c>
      <c r="J50" s="265" t="s">
        <v>11</v>
      </c>
      <c r="K50" s="265" t="s">
        <v>950</v>
      </c>
    </row>
    <row r="51" spans="1:11" s="218" customFormat="1" x14ac:dyDescent="0.25">
      <c r="A51" s="265">
        <v>2</v>
      </c>
      <c r="B51" s="265" t="s">
        <v>758</v>
      </c>
      <c r="C51" s="265">
        <v>2</v>
      </c>
      <c r="D51" s="289">
        <v>835594.03076171805</v>
      </c>
      <c r="E51" s="265" t="s">
        <v>229</v>
      </c>
      <c r="F51" s="265" t="s">
        <v>230</v>
      </c>
      <c r="G51" s="265" t="s">
        <v>80</v>
      </c>
      <c r="H51" s="265" t="s">
        <v>733</v>
      </c>
      <c r="I51" s="265" t="s">
        <v>728</v>
      </c>
      <c r="J51" s="265" t="s">
        <v>11</v>
      </c>
      <c r="K51" s="265" t="s">
        <v>913</v>
      </c>
    </row>
    <row r="52" spans="1:11" s="264" customFormat="1" x14ac:dyDescent="0.25">
      <c r="A52" s="262">
        <v>2</v>
      </c>
      <c r="B52" s="262" t="s">
        <v>758</v>
      </c>
      <c r="C52" s="262">
        <v>2</v>
      </c>
      <c r="D52" s="285">
        <v>639569.70019531203</v>
      </c>
      <c r="E52" s="262" t="s">
        <v>101</v>
      </c>
      <c r="F52" s="262" t="s">
        <v>102</v>
      </c>
      <c r="G52" s="262" t="s">
        <v>9</v>
      </c>
      <c r="H52" s="262" t="s">
        <v>10</v>
      </c>
      <c r="I52" s="262" t="s">
        <v>727</v>
      </c>
      <c r="J52" s="262" t="s">
        <v>11</v>
      </c>
      <c r="K52" s="262" t="s">
        <v>1064</v>
      </c>
    </row>
    <row r="53" spans="1:11" s="218" customFormat="1" x14ac:dyDescent="0.25">
      <c r="A53" s="265">
        <v>2</v>
      </c>
      <c r="B53" s="265" t="s">
        <v>758</v>
      </c>
      <c r="C53" s="265">
        <v>2</v>
      </c>
      <c r="D53" s="289">
        <v>678023.12402343703</v>
      </c>
      <c r="E53" s="265" t="s">
        <v>245</v>
      </c>
      <c r="F53" s="265" t="s">
        <v>246</v>
      </c>
      <c r="G53" s="265" t="s">
        <v>9</v>
      </c>
      <c r="H53" s="265" t="s">
        <v>10</v>
      </c>
      <c r="I53" s="265" t="s">
        <v>728</v>
      </c>
      <c r="J53" s="265" t="s">
        <v>11</v>
      </c>
      <c r="K53" s="265" t="s">
        <v>953</v>
      </c>
    </row>
    <row r="54" spans="1:11" s="264" customFormat="1" x14ac:dyDescent="0.25">
      <c r="A54" s="262">
        <v>2</v>
      </c>
      <c r="B54" s="262" t="s">
        <v>758</v>
      </c>
      <c r="C54" s="262">
        <v>2</v>
      </c>
      <c r="D54" s="285">
        <v>3565208.07421875</v>
      </c>
      <c r="E54" s="262" t="s">
        <v>207</v>
      </c>
      <c r="F54" s="262" t="s">
        <v>208</v>
      </c>
      <c r="G54" s="262" t="s">
        <v>33</v>
      </c>
      <c r="H54" s="262" t="s">
        <v>34</v>
      </c>
      <c r="I54" s="262" t="s">
        <v>727</v>
      </c>
      <c r="J54" s="262" t="s">
        <v>11</v>
      </c>
      <c r="K54" s="262" t="s">
        <v>1065</v>
      </c>
    </row>
    <row r="55" spans="1:11" s="218" customFormat="1" x14ac:dyDescent="0.25">
      <c r="A55" s="265">
        <v>2</v>
      </c>
      <c r="B55" s="265" t="s">
        <v>758</v>
      </c>
      <c r="C55" s="265">
        <v>2</v>
      </c>
      <c r="D55" s="289">
        <v>624143.775390625</v>
      </c>
      <c r="E55" s="265" t="s">
        <v>116</v>
      </c>
      <c r="F55" s="265" t="s">
        <v>117</v>
      </c>
      <c r="G55" s="265" t="s">
        <v>80</v>
      </c>
      <c r="H55" s="265" t="s">
        <v>733</v>
      </c>
      <c r="I55" s="265" t="s">
        <v>728</v>
      </c>
      <c r="J55" s="265" t="s">
        <v>11</v>
      </c>
      <c r="K55" s="265" t="s">
        <v>886</v>
      </c>
    </row>
    <row r="56" spans="1:11" s="264" customFormat="1" x14ac:dyDescent="0.25">
      <c r="A56" s="262">
        <v>2</v>
      </c>
      <c r="B56" s="262" t="s">
        <v>758</v>
      </c>
      <c r="C56" s="262">
        <v>2</v>
      </c>
      <c r="D56" s="285">
        <v>3215435.3403320299</v>
      </c>
      <c r="E56" s="262" t="s">
        <v>225</v>
      </c>
      <c r="F56" s="262" t="s">
        <v>226</v>
      </c>
      <c r="G56" s="262" t="s">
        <v>227</v>
      </c>
      <c r="H56" s="262" t="s">
        <v>228</v>
      </c>
      <c r="I56" s="262" t="s">
        <v>727</v>
      </c>
      <c r="J56" s="262" t="s">
        <v>11</v>
      </c>
      <c r="K56" s="262" t="s">
        <v>957</v>
      </c>
    </row>
    <row r="57" spans="1:11" s="129" customFormat="1" x14ac:dyDescent="0.25">
      <c r="A57" s="130">
        <v>2</v>
      </c>
      <c r="B57" s="130" t="s">
        <v>758</v>
      </c>
      <c r="C57" s="130">
        <v>2</v>
      </c>
      <c r="D57" s="284">
        <v>9069.52294921875</v>
      </c>
      <c r="E57" s="130" t="s">
        <v>269</v>
      </c>
      <c r="F57" s="130" t="s">
        <v>270</v>
      </c>
      <c r="G57" s="130" t="s">
        <v>9</v>
      </c>
      <c r="H57" s="130" t="s">
        <v>10</v>
      </c>
      <c r="I57" s="130" t="s">
        <v>15</v>
      </c>
      <c r="J57" s="130" t="s">
        <v>11</v>
      </c>
      <c r="K57" s="130" t="s">
        <v>1066</v>
      </c>
    </row>
    <row r="58" spans="1:11" s="264" customFormat="1" x14ac:dyDescent="0.25">
      <c r="A58" s="262">
        <v>2</v>
      </c>
      <c r="B58" s="262" t="s">
        <v>758</v>
      </c>
      <c r="C58" s="262">
        <v>2</v>
      </c>
      <c r="D58" s="285">
        <v>1511048.46630859</v>
      </c>
      <c r="E58" s="262" t="s">
        <v>221</v>
      </c>
      <c r="F58" s="262" t="s">
        <v>222</v>
      </c>
      <c r="G58" s="262" t="s">
        <v>80</v>
      </c>
      <c r="H58" s="262" t="s">
        <v>733</v>
      </c>
      <c r="I58" s="262" t="s">
        <v>727</v>
      </c>
      <c r="J58" s="262" t="s">
        <v>11</v>
      </c>
      <c r="K58" s="262" t="s">
        <v>888</v>
      </c>
    </row>
    <row r="59" spans="1:11" s="129" customFormat="1" x14ac:dyDescent="0.25">
      <c r="A59" s="130">
        <v>2</v>
      </c>
      <c r="B59" s="130" t="s">
        <v>758</v>
      </c>
      <c r="C59" s="130">
        <v>2</v>
      </c>
      <c r="D59" s="284">
        <v>525582.15332031203</v>
      </c>
      <c r="E59" s="130" t="s">
        <v>221</v>
      </c>
      <c r="F59" s="130" t="s">
        <v>222</v>
      </c>
      <c r="G59" s="130" t="s">
        <v>80</v>
      </c>
      <c r="H59" s="130" t="s">
        <v>733</v>
      </c>
      <c r="I59" s="130" t="s">
        <v>15</v>
      </c>
      <c r="J59" s="130" t="s">
        <v>11</v>
      </c>
      <c r="K59" s="130" t="s">
        <v>889</v>
      </c>
    </row>
    <row r="60" spans="1:11" s="278" customFormat="1" x14ac:dyDescent="0.25">
      <c r="A60" s="276">
        <v>2</v>
      </c>
      <c r="B60" s="276" t="s">
        <v>758</v>
      </c>
      <c r="C60" s="276">
        <v>2</v>
      </c>
      <c r="D60" s="291">
        <v>24918.741699218699</v>
      </c>
      <c r="E60" s="276" t="s">
        <v>83</v>
      </c>
      <c r="F60" s="276" t="s">
        <v>84</v>
      </c>
      <c r="G60" s="276" t="s">
        <v>80</v>
      </c>
      <c r="H60" s="276" t="s">
        <v>733</v>
      </c>
      <c r="I60" s="276" t="s">
        <v>729</v>
      </c>
      <c r="J60" s="276" t="s">
        <v>11</v>
      </c>
      <c r="K60" s="276" t="s">
        <v>1067</v>
      </c>
    </row>
    <row r="61" spans="1:11" s="264" customFormat="1" x14ac:dyDescent="0.25">
      <c r="A61" s="262">
        <v>2</v>
      </c>
      <c r="B61" s="262" t="s">
        <v>758</v>
      </c>
      <c r="C61" s="262">
        <v>2</v>
      </c>
      <c r="D61" s="285">
        <v>3383920.9707031199</v>
      </c>
      <c r="E61" s="262" t="s">
        <v>203</v>
      </c>
      <c r="F61" s="262" t="s">
        <v>204</v>
      </c>
      <c r="G61" s="262" t="s">
        <v>80</v>
      </c>
      <c r="H61" s="262" t="s">
        <v>733</v>
      </c>
      <c r="I61" s="262" t="s">
        <v>727</v>
      </c>
      <c r="J61" s="262" t="s">
        <v>11</v>
      </c>
      <c r="K61" s="262" t="s">
        <v>1068</v>
      </c>
    </row>
    <row r="62" spans="1:11" s="129" customFormat="1" x14ac:dyDescent="0.25">
      <c r="A62" s="130">
        <v>2</v>
      </c>
      <c r="B62" s="130" t="s">
        <v>758</v>
      </c>
      <c r="C62" s="130">
        <v>2</v>
      </c>
      <c r="D62" s="284">
        <v>1031138.48583984</v>
      </c>
      <c r="E62" s="130" t="s">
        <v>175</v>
      </c>
      <c r="F62" s="130" t="s">
        <v>176</v>
      </c>
      <c r="G62" s="130" t="s">
        <v>80</v>
      </c>
      <c r="H62" s="130" t="s">
        <v>733</v>
      </c>
      <c r="I62" s="130" t="s">
        <v>15</v>
      </c>
      <c r="J62" s="130" t="s">
        <v>11</v>
      </c>
      <c r="K62" s="130" t="s">
        <v>914</v>
      </c>
    </row>
    <row r="63" spans="1:11" s="278" customFormat="1" x14ac:dyDescent="0.25">
      <c r="A63" s="276">
        <v>2</v>
      </c>
      <c r="B63" s="276" t="s">
        <v>758</v>
      </c>
      <c r="C63" s="276">
        <v>2</v>
      </c>
      <c r="D63" s="291">
        <v>817.58154296875</v>
      </c>
      <c r="E63" s="276" t="s">
        <v>305</v>
      </c>
      <c r="F63" s="276" t="s">
        <v>306</v>
      </c>
      <c r="G63" s="276" t="s">
        <v>80</v>
      </c>
      <c r="H63" s="276" t="s">
        <v>733</v>
      </c>
      <c r="I63" s="276" t="s">
        <v>729</v>
      </c>
      <c r="J63" s="276" t="s">
        <v>11</v>
      </c>
      <c r="K63" s="276" t="s">
        <v>1069</v>
      </c>
    </row>
    <row r="64" spans="1:11" s="264" customFormat="1" x14ac:dyDescent="0.25">
      <c r="A64" s="262">
        <v>2</v>
      </c>
      <c r="B64" s="262" t="s">
        <v>758</v>
      </c>
      <c r="C64" s="262">
        <v>2</v>
      </c>
      <c r="D64" s="285">
        <v>1285793.03417968</v>
      </c>
      <c r="E64" s="262" t="s">
        <v>36</v>
      </c>
      <c r="F64" s="262" t="s">
        <v>37</v>
      </c>
      <c r="G64" s="262" t="s">
        <v>9</v>
      </c>
      <c r="H64" s="262" t="s">
        <v>10</v>
      </c>
      <c r="I64" s="262" t="s">
        <v>727</v>
      </c>
      <c r="J64" s="262" t="s">
        <v>11</v>
      </c>
      <c r="K64" s="262" t="s">
        <v>1070</v>
      </c>
    </row>
    <row r="65" spans="1:11" s="129" customFormat="1" x14ac:dyDescent="0.25">
      <c r="A65" s="130">
        <v>2</v>
      </c>
      <c r="B65" s="130" t="s">
        <v>758</v>
      </c>
      <c r="C65" s="130">
        <v>2</v>
      </c>
      <c r="D65" s="284">
        <v>1030856.07861328</v>
      </c>
      <c r="E65" s="130" t="s">
        <v>323</v>
      </c>
      <c r="F65" s="130" t="s">
        <v>324</v>
      </c>
      <c r="G65" s="130" t="s">
        <v>80</v>
      </c>
      <c r="H65" s="130" t="s">
        <v>733</v>
      </c>
      <c r="I65" s="130" t="s">
        <v>15</v>
      </c>
      <c r="J65" s="130" t="s">
        <v>11</v>
      </c>
      <c r="K65" s="130" t="s">
        <v>1071</v>
      </c>
    </row>
    <row r="66" spans="1:11" s="218" customFormat="1" x14ac:dyDescent="0.25">
      <c r="A66" s="265">
        <v>2</v>
      </c>
      <c r="B66" s="265" t="s">
        <v>758</v>
      </c>
      <c r="C66" s="265">
        <v>2</v>
      </c>
      <c r="D66" s="289">
        <v>764751.099609375</v>
      </c>
      <c r="E66" s="265" t="s">
        <v>325</v>
      </c>
      <c r="F66" s="265" t="s">
        <v>326</v>
      </c>
      <c r="G66" s="265" t="s">
        <v>80</v>
      </c>
      <c r="H66" s="265" t="s">
        <v>733</v>
      </c>
      <c r="I66" s="265" t="s">
        <v>728</v>
      </c>
      <c r="J66" s="265" t="s">
        <v>11</v>
      </c>
      <c r="K66" s="265" t="s">
        <v>1072</v>
      </c>
    </row>
    <row r="67" spans="1:11" s="264" customFormat="1" x14ac:dyDescent="0.25">
      <c r="A67" s="262">
        <v>2</v>
      </c>
      <c r="B67" s="262" t="s">
        <v>758</v>
      </c>
      <c r="C67" s="262">
        <v>2</v>
      </c>
      <c r="D67" s="285">
        <v>949137.9375</v>
      </c>
      <c r="E67" s="262" t="s">
        <v>229</v>
      </c>
      <c r="F67" s="262" t="s">
        <v>230</v>
      </c>
      <c r="G67" s="262" t="s">
        <v>80</v>
      </c>
      <c r="H67" s="262" t="s">
        <v>733</v>
      </c>
      <c r="I67" s="262" t="s">
        <v>727</v>
      </c>
      <c r="J67" s="262" t="s">
        <v>11</v>
      </c>
      <c r="K67" s="262" t="s">
        <v>915</v>
      </c>
    </row>
    <row r="68" spans="1:11" s="264" customFormat="1" x14ac:dyDescent="0.25">
      <c r="A68" s="262">
        <v>2</v>
      </c>
      <c r="B68" s="262" t="s">
        <v>758</v>
      </c>
      <c r="C68" s="262">
        <v>2</v>
      </c>
      <c r="D68" s="285">
        <v>121243.130859375</v>
      </c>
      <c r="E68" s="262" t="s">
        <v>185</v>
      </c>
      <c r="F68" s="262" t="s">
        <v>186</v>
      </c>
      <c r="G68" s="262" t="s">
        <v>80</v>
      </c>
      <c r="H68" s="262" t="s">
        <v>733</v>
      </c>
      <c r="I68" s="262" t="s">
        <v>727</v>
      </c>
      <c r="J68" s="262" t="s">
        <v>11</v>
      </c>
      <c r="K68" s="262" t="s">
        <v>1073</v>
      </c>
    </row>
    <row r="69" spans="1:11" s="218" customFormat="1" x14ac:dyDescent="0.25">
      <c r="A69" s="265">
        <v>2</v>
      </c>
      <c r="B69" s="265" t="s">
        <v>758</v>
      </c>
      <c r="C69" s="265">
        <v>2</v>
      </c>
      <c r="D69" s="289">
        <v>9966.79296875</v>
      </c>
      <c r="E69" s="265" t="s">
        <v>299</v>
      </c>
      <c r="F69" s="265" t="s">
        <v>300</v>
      </c>
      <c r="G69" s="265" t="s">
        <v>80</v>
      </c>
      <c r="H69" s="265" t="s">
        <v>733</v>
      </c>
      <c r="I69" s="265" t="s">
        <v>728</v>
      </c>
      <c r="J69" s="265" t="s">
        <v>11</v>
      </c>
      <c r="K69" s="265" t="s">
        <v>890</v>
      </c>
    </row>
    <row r="70" spans="1:11" s="218" customFormat="1" x14ac:dyDescent="0.25">
      <c r="A70" s="265">
        <v>2</v>
      </c>
      <c r="B70" s="265" t="s">
        <v>758</v>
      </c>
      <c r="C70" s="265">
        <v>2</v>
      </c>
      <c r="D70" s="289">
        <v>719064.19824218703</v>
      </c>
      <c r="E70" s="265" t="s">
        <v>341</v>
      </c>
      <c r="F70" s="265" t="s">
        <v>342</v>
      </c>
      <c r="G70" s="265" t="s">
        <v>9</v>
      </c>
      <c r="H70" s="265" t="s">
        <v>10</v>
      </c>
      <c r="I70" s="265" t="s">
        <v>728</v>
      </c>
      <c r="J70" s="265" t="s">
        <v>11</v>
      </c>
      <c r="K70" s="265" t="s">
        <v>1074</v>
      </c>
    </row>
    <row r="71" spans="1:11" s="264" customFormat="1" x14ac:dyDescent="0.25">
      <c r="A71" s="262">
        <v>2</v>
      </c>
      <c r="B71" s="262" t="s">
        <v>758</v>
      </c>
      <c r="C71" s="262">
        <v>2</v>
      </c>
      <c r="D71" s="285">
        <v>958874.57714843703</v>
      </c>
      <c r="E71" s="262" t="s">
        <v>343</v>
      </c>
      <c r="F71" s="262" t="s">
        <v>344</v>
      </c>
      <c r="G71" s="262" t="s">
        <v>227</v>
      </c>
      <c r="H71" s="262" t="s">
        <v>228</v>
      </c>
      <c r="I71" s="262" t="s">
        <v>727</v>
      </c>
      <c r="J71" s="262" t="s">
        <v>11</v>
      </c>
      <c r="K71" s="262" t="s">
        <v>962</v>
      </c>
    </row>
    <row r="72" spans="1:11" s="218" customFormat="1" x14ac:dyDescent="0.25">
      <c r="A72" s="265">
        <v>2</v>
      </c>
      <c r="B72" s="265" t="s">
        <v>758</v>
      </c>
      <c r="C72" s="265">
        <v>2</v>
      </c>
      <c r="D72" s="289">
        <v>964298.61865234305</v>
      </c>
      <c r="E72" s="265" t="s">
        <v>361</v>
      </c>
      <c r="F72" s="265" t="s">
        <v>362</v>
      </c>
      <c r="G72" s="265" t="s">
        <v>33</v>
      </c>
      <c r="H72" s="265" t="s">
        <v>34</v>
      </c>
      <c r="I72" s="265" t="s">
        <v>728</v>
      </c>
      <c r="J72" s="265" t="s">
        <v>11</v>
      </c>
      <c r="K72" s="265" t="s">
        <v>916</v>
      </c>
    </row>
    <row r="73" spans="1:11" s="129" customFormat="1" x14ac:dyDescent="0.25">
      <c r="A73" s="130">
        <v>2</v>
      </c>
      <c r="B73" s="130" t="s">
        <v>758</v>
      </c>
      <c r="C73" s="130">
        <v>2</v>
      </c>
      <c r="D73" s="284">
        <v>65035.975097656199</v>
      </c>
      <c r="E73" s="130" t="s">
        <v>57</v>
      </c>
      <c r="F73" s="130" t="s">
        <v>58</v>
      </c>
      <c r="G73" s="130" t="s">
        <v>46</v>
      </c>
      <c r="H73" s="130" t="s">
        <v>739</v>
      </c>
      <c r="I73" s="130" t="s">
        <v>15</v>
      </c>
      <c r="J73" s="130" t="s">
        <v>11</v>
      </c>
      <c r="K73" s="130" t="s">
        <v>963</v>
      </c>
    </row>
    <row r="74" spans="1:11" s="129" customFormat="1" x14ac:dyDescent="0.25">
      <c r="A74" s="130">
        <v>2</v>
      </c>
      <c r="B74" s="130" t="s">
        <v>758</v>
      </c>
      <c r="C74" s="130">
        <v>2</v>
      </c>
      <c r="D74" s="284">
        <v>3248569.2924804599</v>
      </c>
      <c r="E74" s="130" t="s">
        <v>325</v>
      </c>
      <c r="F74" s="130" t="s">
        <v>326</v>
      </c>
      <c r="G74" s="130" t="s">
        <v>80</v>
      </c>
      <c r="H74" s="130" t="s">
        <v>733</v>
      </c>
      <c r="I74" s="130" t="s">
        <v>15</v>
      </c>
      <c r="J74" s="130" t="s">
        <v>11</v>
      </c>
      <c r="K74" s="130" t="s">
        <v>1075</v>
      </c>
    </row>
    <row r="75" spans="1:11" s="264" customFormat="1" x14ac:dyDescent="0.25">
      <c r="A75" s="262">
        <v>2</v>
      </c>
      <c r="B75" s="262" t="s">
        <v>758</v>
      </c>
      <c r="C75" s="262">
        <v>2</v>
      </c>
      <c r="D75" s="285">
        <v>757604.857421875</v>
      </c>
      <c r="E75" s="262" t="s">
        <v>57</v>
      </c>
      <c r="F75" s="262" t="s">
        <v>58</v>
      </c>
      <c r="G75" s="262" t="s">
        <v>46</v>
      </c>
      <c r="H75" s="262" t="s">
        <v>739</v>
      </c>
      <c r="I75" s="262" t="s">
        <v>727</v>
      </c>
      <c r="J75" s="262" t="s">
        <v>11</v>
      </c>
      <c r="K75" s="262" t="s">
        <v>964</v>
      </c>
    </row>
    <row r="76" spans="1:11" s="129" customFormat="1" x14ac:dyDescent="0.25">
      <c r="A76" s="130">
        <v>2</v>
      </c>
      <c r="B76" s="130" t="s">
        <v>758</v>
      </c>
      <c r="C76" s="130">
        <v>2</v>
      </c>
      <c r="D76" s="284">
        <v>2511436.8603515602</v>
      </c>
      <c r="E76" s="130" t="s">
        <v>167</v>
      </c>
      <c r="F76" s="130" t="s">
        <v>168</v>
      </c>
      <c r="G76" s="130" t="s">
        <v>33</v>
      </c>
      <c r="H76" s="130" t="s">
        <v>34</v>
      </c>
      <c r="I76" s="130" t="s">
        <v>15</v>
      </c>
      <c r="J76" s="130" t="s">
        <v>11</v>
      </c>
      <c r="K76" s="130" t="s">
        <v>1076</v>
      </c>
    </row>
    <row r="77" spans="1:11" s="129" customFormat="1" x14ac:dyDescent="0.25">
      <c r="A77" s="130">
        <v>2</v>
      </c>
      <c r="B77" s="130" t="s">
        <v>758</v>
      </c>
      <c r="C77" s="130">
        <v>2</v>
      </c>
      <c r="D77" s="284">
        <v>173680.04345703099</v>
      </c>
      <c r="E77" s="130" t="s">
        <v>393</v>
      </c>
      <c r="F77" s="130" t="s">
        <v>394</v>
      </c>
      <c r="G77" s="130" t="s">
        <v>18</v>
      </c>
      <c r="H77" s="130" t="s">
        <v>19</v>
      </c>
      <c r="I77" s="130" t="s">
        <v>15</v>
      </c>
      <c r="J77" s="130" t="s">
        <v>11</v>
      </c>
      <c r="K77" s="130" t="s">
        <v>891</v>
      </c>
    </row>
    <row r="78" spans="1:11" s="218" customFormat="1" x14ac:dyDescent="0.25">
      <c r="A78" s="265">
        <v>2</v>
      </c>
      <c r="B78" s="265" t="s">
        <v>758</v>
      </c>
      <c r="C78" s="265">
        <v>2</v>
      </c>
      <c r="D78" s="289">
        <v>296062.978515625</v>
      </c>
      <c r="E78" s="265" t="s">
        <v>126</v>
      </c>
      <c r="F78" s="265" t="s">
        <v>127</v>
      </c>
      <c r="G78" s="265" t="s">
        <v>9</v>
      </c>
      <c r="H78" s="265" t="s">
        <v>10</v>
      </c>
      <c r="I78" s="265" t="s">
        <v>728</v>
      </c>
      <c r="J78" s="265" t="s">
        <v>11</v>
      </c>
      <c r="K78" s="265" t="s">
        <v>1077</v>
      </c>
    </row>
    <row r="79" spans="1:11" s="264" customFormat="1" x14ac:dyDescent="0.25">
      <c r="A79" s="262">
        <v>2</v>
      </c>
      <c r="B79" s="262" t="s">
        <v>758</v>
      </c>
      <c r="C79" s="262">
        <v>2</v>
      </c>
      <c r="D79" s="285">
        <v>1940239.6674804599</v>
      </c>
      <c r="E79" s="262" t="s">
        <v>412</v>
      </c>
      <c r="F79" s="262" t="s">
        <v>413</v>
      </c>
      <c r="G79" s="262" t="s">
        <v>227</v>
      </c>
      <c r="H79" s="262" t="s">
        <v>228</v>
      </c>
      <c r="I79" s="262" t="s">
        <v>727</v>
      </c>
      <c r="J79" s="262" t="s">
        <v>11</v>
      </c>
      <c r="K79" s="262" t="s">
        <v>966</v>
      </c>
    </row>
    <row r="80" spans="1:11" s="218" customFormat="1" x14ac:dyDescent="0.25">
      <c r="A80" s="265">
        <v>2</v>
      </c>
      <c r="B80" s="265" t="s">
        <v>758</v>
      </c>
      <c r="C80" s="265">
        <v>2</v>
      </c>
      <c r="D80" s="289">
        <v>7770175.6567382803</v>
      </c>
      <c r="E80" s="265" t="s">
        <v>414</v>
      </c>
      <c r="F80" s="265" t="s">
        <v>415</v>
      </c>
      <c r="G80" s="265" t="s">
        <v>80</v>
      </c>
      <c r="H80" s="265" t="s">
        <v>733</v>
      </c>
      <c r="I80" s="265" t="s">
        <v>728</v>
      </c>
      <c r="J80" s="265" t="s">
        <v>11</v>
      </c>
      <c r="K80" s="265" t="s">
        <v>892</v>
      </c>
    </row>
    <row r="81" spans="1:11" s="129" customFormat="1" x14ac:dyDescent="0.25">
      <c r="A81" s="130">
        <v>2</v>
      </c>
      <c r="B81" s="130" t="s">
        <v>758</v>
      </c>
      <c r="C81" s="130">
        <v>2</v>
      </c>
      <c r="D81" s="284">
        <v>1085596.3823242099</v>
      </c>
      <c r="E81" s="130" t="s">
        <v>36</v>
      </c>
      <c r="F81" s="130" t="s">
        <v>37</v>
      </c>
      <c r="G81" s="130" t="s">
        <v>9</v>
      </c>
      <c r="H81" s="130" t="s">
        <v>10</v>
      </c>
      <c r="I81" s="130" t="s">
        <v>15</v>
      </c>
      <c r="J81" s="130" t="s">
        <v>11</v>
      </c>
      <c r="K81" s="130" t="s">
        <v>1078</v>
      </c>
    </row>
    <row r="82" spans="1:11" s="129" customFormat="1" x14ac:dyDescent="0.25">
      <c r="A82" s="130">
        <v>2</v>
      </c>
      <c r="B82" s="130" t="s">
        <v>758</v>
      </c>
      <c r="C82" s="130">
        <v>2</v>
      </c>
      <c r="D82" s="284">
        <v>13330235.359375</v>
      </c>
      <c r="E82" s="130" t="s">
        <v>412</v>
      </c>
      <c r="F82" s="130" t="s">
        <v>413</v>
      </c>
      <c r="G82" s="130" t="s">
        <v>227</v>
      </c>
      <c r="H82" s="130" t="s">
        <v>228</v>
      </c>
      <c r="I82" s="130" t="s">
        <v>15</v>
      </c>
      <c r="J82" s="130" t="s">
        <v>11</v>
      </c>
      <c r="K82" s="130" t="s">
        <v>968</v>
      </c>
    </row>
    <row r="83" spans="1:11" s="264" customFormat="1" x14ac:dyDescent="0.25">
      <c r="A83" s="262">
        <v>2</v>
      </c>
      <c r="B83" s="262" t="s">
        <v>758</v>
      </c>
      <c r="C83" s="262">
        <v>2</v>
      </c>
      <c r="D83" s="285">
        <v>1246455.66259765</v>
      </c>
      <c r="E83" s="262" t="s">
        <v>434</v>
      </c>
      <c r="F83" s="262" t="s">
        <v>435</v>
      </c>
      <c r="G83" s="262" t="s">
        <v>80</v>
      </c>
      <c r="H83" s="262" t="s">
        <v>733</v>
      </c>
      <c r="I83" s="262" t="s">
        <v>727</v>
      </c>
      <c r="J83" s="262" t="s">
        <v>11</v>
      </c>
      <c r="K83" s="262" t="s">
        <v>893</v>
      </c>
    </row>
    <row r="84" spans="1:11" s="218" customFormat="1" x14ac:dyDescent="0.25">
      <c r="A84" s="265">
        <v>2</v>
      </c>
      <c r="B84" s="265" t="s">
        <v>758</v>
      </c>
      <c r="C84" s="265">
        <v>2</v>
      </c>
      <c r="D84" s="289">
        <v>56552.580078125</v>
      </c>
      <c r="E84" s="265" t="s">
        <v>438</v>
      </c>
      <c r="F84" s="265" t="s">
        <v>439</v>
      </c>
      <c r="G84" s="265" t="s">
        <v>9</v>
      </c>
      <c r="H84" s="265" t="s">
        <v>10</v>
      </c>
      <c r="I84" s="265" t="s">
        <v>728</v>
      </c>
      <c r="J84" s="265" t="s">
        <v>11</v>
      </c>
      <c r="K84" s="265" t="s">
        <v>969</v>
      </c>
    </row>
    <row r="85" spans="1:11" s="129" customFormat="1" x14ac:dyDescent="0.25">
      <c r="A85" s="130">
        <v>2</v>
      </c>
      <c r="B85" s="130" t="s">
        <v>758</v>
      </c>
      <c r="C85" s="130">
        <v>2</v>
      </c>
      <c r="D85" s="284">
        <v>671277.03808593703</v>
      </c>
      <c r="E85" s="130" t="s">
        <v>229</v>
      </c>
      <c r="F85" s="130" t="s">
        <v>230</v>
      </c>
      <c r="G85" s="130" t="s">
        <v>80</v>
      </c>
      <c r="H85" s="130" t="s">
        <v>733</v>
      </c>
      <c r="I85" s="130" t="s">
        <v>15</v>
      </c>
      <c r="J85" s="130" t="s">
        <v>11</v>
      </c>
      <c r="K85" s="130" t="s">
        <v>917</v>
      </c>
    </row>
    <row r="86" spans="1:11" s="129" customFormat="1" x14ac:dyDescent="0.25">
      <c r="A86" s="130">
        <v>2</v>
      </c>
      <c r="B86" s="130" t="s">
        <v>758</v>
      </c>
      <c r="C86" s="130">
        <v>2</v>
      </c>
      <c r="D86" s="284">
        <v>9675401.0229492094</v>
      </c>
      <c r="E86" s="130" t="s">
        <v>414</v>
      </c>
      <c r="F86" s="130" t="s">
        <v>415</v>
      </c>
      <c r="G86" s="130" t="s">
        <v>80</v>
      </c>
      <c r="H86" s="130" t="s">
        <v>733</v>
      </c>
      <c r="I86" s="130" t="s">
        <v>15</v>
      </c>
      <c r="J86" s="130" t="s">
        <v>11</v>
      </c>
      <c r="K86" s="130" t="s">
        <v>894</v>
      </c>
    </row>
    <row r="87" spans="1:11" s="218" customFormat="1" x14ac:dyDescent="0.25">
      <c r="A87" s="265">
        <v>2</v>
      </c>
      <c r="B87" s="265" t="s">
        <v>758</v>
      </c>
      <c r="C87" s="265">
        <v>2</v>
      </c>
      <c r="D87" s="289">
        <v>824572.91650390602</v>
      </c>
      <c r="E87" s="265" t="s">
        <v>323</v>
      </c>
      <c r="F87" s="265" t="s">
        <v>324</v>
      </c>
      <c r="G87" s="265" t="s">
        <v>80</v>
      </c>
      <c r="H87" s="265" t="s">
        <v>733</v>
      </c>
      <c r="I87" s="265" t="s">
        <v>728</v>
      </c>
      <c r="J87" s="265" t="s">
        <v>11</v>
      </c>
      <c r="K87" s="265" t="s">
        <v>1079</v>
      </c>
    </row>
    <row r="88" spans="1:11" s="218" customFormat="1" x14ac:dyDescent="0.25">
      <c r="A88" s="265">
        <v>2</v>
      </c>
      <c r="B88" s="265" t="s">
        <v>758</v>
      </c>
      <c r="C88" s="265">
        <v>2</v>
      </c>
      <c r="D88" s="289">
        <v>719258.58105468703</v>
      </c>
      <c r="E88" s="265" t="s">
        <v>167</v>
      </c>
      <c r="F88" s="265" t="s">
        <v>168</v>
      </c>
      <c r="G88" s="265" t="s">
        <v>33</v>
      </c>
      <c r="H88" s="265" t="s">
        <v>34</v>
      </c>
      <c r="I88" s="265" t="s">
        <v>728</v>
      </c>
      <c r="J88" s="265" t="s">
        <v>11</v>
      </c>
      <c r="K88" s="265" t="s">
        <v>1080</v>
      </c>
    </row>
    <row r="89" spans="1:11" s="218" customFormat="1" x14ac:dyDescent="0.25">
      <c r="A89" s="265">
        <v>2</v>
      </c>
      <c r="B89" s="265" t="s">
        <v>758</v>
      </c>
      <c r="C89" s="265">
        <v>2</v>
      </c>
      <c r="D89" s="289">
        <v>1168388.99121093</v>
      </c>
      <c r="E89" s="265" t="s">
        <v>412</v>
      </c>
      <c r="F89" s="265" t="s">
        <v>413</v>
      </c>
      <c r="G89" s="265" t="s">
        <v>227</v>
      </c>
      <c r="H89" s="265" t="s">
        <v>228</v>
      </c>
      <c r="I89" s="265" t="s">
        <v>728</v>
      </c>
      <c r="J89" s="265" t="s">
        <v>11</v>
      </c>
      <c r="K89" s="265" t="s">
        <v>971</v>
      </c>
    </row>
    <row r="90" spans="1:11" s="218" customFormat="1" x14ac:dyDescent="0.25">
      <c r="A90" s="265">
        <v>2</v>
      </c>
      <c r="B90" s="265" t="s">
        <v>758</v>
      </c>
      <c r="C90" s="265">
        <v>2</v>
      </c>
      <c r="D90" s="289">
        <v>724064.99560546805</v>
      </c>
      <c r="E90" s="265" t="s">
        <v>478</v>
      </c>
      <c r="F90" s="265" t="s">
        <v>479</v>
      </c>
      <c r="G90" s="265" t="s">
        <v>80</v>
      </c>
      <c r="H90" s="265" t="s">
        <v>733</v>
      </c>
      <c r="I90" s="265" t="s">
        <v>728</v>
      </c>
      <c r="J90" s="265" t="s">
        <v>11</v>
      </c>
      <c r="K90" s="265" t="s">
        <v>1081</v>
      </c>
    </row>
    <row r="91" spans="1:11" s="129" customFormat="1" x14ac:dyDescent="0.25">
      <c r="A91" s="130">
        <v>2</v>
      </c>
      <c r="B91" s="130" t="s">
        <v>758</v>
      </c>
      <c r="C91" s="130">
        <v>2</v>
      </c>
      <c r="D91" s="284">
        <v>839333.37255859305</v>
      </c>
      <c r="E91" s="130" t="s">
        <v>484</v>
      </c>
      <c r="F91" s="130" t="s">
        <v>485</v>
      </c>
      <c r="G91" s="130" t="s">
        <v>80</v>
      </c>
      <c r="H91" s="130" t="s">
        <v>733</v>
      </c>
      <c r="I91" s="130" t="s">
        <v>15</v>
      </c>
      <c r="J91" s="130" t="s">
        <v>11</v>
      </c>
      <c r="K91" s="130" t="s">
        <v>1082</v>
      </c>
    </row>
    <row r="92" spans="1:11" s="264" customFormat="1" x14ac:dyDescent="0.25">
      <c r="A92" s="262">
        <v>2</v>
      </c>
      <c r="B92" s="262" t="s">
        <v>758</v>
      </c>
      <c r="C92" s="262">
        <v>2</v>
      </c>
      <c r="D92" s="285">
        <v>15982045.164550699</v>
      </c>
      <c r="E92" s="262" t="s">
        <v>414</v>
      </c>
      <c r="F92" s="262" t="s">
        <v>415</v>
      </c>
      <c r="G92" s="262" t="s">
        <v>80</v>
      </c>
      <c r="H92" s="262" t="s">
        <v>733</v>
      </c>
      <c r="I92" s="262" t="s">
        <v>727</v>
      </c>
      <c r="J92" s="262" t="s">
        <v>11</v>
      </c>
      <c r="K92" s="262" t="s">
        <v>896</v>
      </c>
    </row>
    <row r="93" spans="1:11" s="129" customFormat="1" x14ac:dyDescent="0.25">
      <c r="A93" s="130">
        <v>2</v>
      </c>
      <c r="B93" s="130" t="s">
        <v>758</v>
      </c>
      <c r="C93" s="130">
        <v>2</v>
      </c>
      <c r="D93" s="284">
        <v>2524169.9633789002</v>
      </c>
      <c r="E93" s="130" t="s">
        <v>305</v>
      </c>
      <c r="F93" s="130" t="s">
        <v>306</v>
      </c>
      <c r="G93" s="130" t="s">
        <v>80</v>
      </c>
      <c r="H93" s="130" t="s">
        <v>733</v>
      </c>
      <c r="I93" s="130" t="s">
        <v>15</v>
      </c>
      <c r="J93" s="130" t="s">
        <v>11</v>
      </c>
      <c r="K93" s="130" t="s">
        <v>1083</v>
      </c>
    </row>
    <row r="94" spans="1:11" s="264" customFormat="1" x14ac:dyDescent="0.25">
      <c r="A94" s="262">
        <v>2</v>
      </c>
      <c r="B94" s="262" t="s">
        <v>758</v>
      </c>
      <c r="C94" s="262">
        <v>2</v>
      </c>
      <c r="D94" s="285">
        <v>1665514.3129882801</v>
      </c>
      <c r="E94" s="262" t="s">
        <v>498</v>
      </c>
      <c r="F94" s="262" t="s">
        <v>499</v>
      </c>
      <c r="G94" s="262" t="s">
        <v>33</v>
      </c>
      <c r="H94" s="262" t="s">
        <v>34</v>
      </c>
      <c r="I94" s="262" t="s">
        <v>727</v>
      </c>
      <c r="J94" s="262" t="s">
        <v>11</v>
      </c>
      <c r="K94" s="262" t="s">
        <v>918</v>
      </c>
    </row>
    <row r="95" spans="1:11" s="264" customFormat="1" x14ac:dyDescent="0.25">
      <c r="A95" s="262">
        <v>2</v>
      </c>
      <c r="B95" s="262" t="s">
        <v>758</v>
      </c>
      <c r="C95" s="262">
        <v>2</v>
      </c>
      <c r="D95" s="285">
        <v>1211216.86328125</v>
      </c>
      <c r="E95" s="262" t="s">
        <v>59</v>
      </c>
      <c r="F95" s="262" t="s">
        <v>60</v>
      </c>
      <c r="G95" s="262" t="s">
        <v>9</v>
      </c>
      <c r="H95" s="262" t="s">
        <v>10</v>
      </c>
      <c r="I95" s="262" t="s">
        <v>727</v>
      </c>
      <c r="J95" s="262" t="s">
        <v>11</v>
      </c>
      <c r="K95" s="262" t="s">
        <v>1084</v>
      </c>
    </row>
    <row r="96" spans="1:11" s="264" customFormat="1" x14ac:dyDescent="0.25">
      <c r="A96" s="262">
        <v>2</v>
      </c>
      <c r="B96" s="262" t="s">
        <v>758</v>
      </c>
      <c r="C96" s="262">
        <v>2</v>
      </c>
      <c r="D96" s="285">
        <v>1779099.0932617099</v>
      </c>
      <c r="E96" s="262" t="s">
        <v>7</v>
      </c>
      <c r="F96" s="262" t="s">
        <v>8</v>
      </c>
      <c r="G96" s="262" t="s">
        <v>9</v>
      </c>
      <c r="H96" s="262" t="s">
        <v>10</v>
      </c>
      <c r="I96" s="262" t="s">
        <v>727</v>
      </c>
      <c r="J96" s="262" t="s">
        <v>11</v>
      </c>
      <c r="K96" s="262" t="s">
        <v>1085</v>
      </c>
    </row>
    <row r="97" spans="1:11" s="129" customFormat="1" x14ac:dyDescent="0.25">
      <c r="A97" s="130">
        <v>2</v>
      </c>
      <c r="B97" s="130" t="s">
        <v>758</v>
      </c>
      <c r="C97" s="130">
        <v>2</v>
      </c>
      <c r="D97" s="284">
        <v>287680.423828125</v>
      </c>
      <c r="E97" s="130" t="s">
        <v>507</v>
      </c>
      <c r="F97" s="130" t="s">
        <v>508</v>
      </c>
      <c r="G97" s="130" t="s">
        <v>80</v>
      </c>
      <c r="H97" s="130" t="s">
        <v>733</v>
      </c>
      <c r="I97" s="130" t="s">
        <v>15</v>
      </c>
      <c r="J97" s="130" t="s">
        <v>11</v>
      </c>
      <c r="K97" s="130" t="s">
        <v>897</v>
      </c>
    </row>
    <row r="98" spans="1:11" s="278" customFormat="1" x14ac:dyDescent="0.25">
      <c r="A98" s="276">
        <v>2</v>
      </c>
      <c r="B98" s="276" t="s">
        <v>758</v>
      </c>
      <c r="C98" s="276">
        <v>2</v>
      </c>
      <c r="D98" s="291">
        <v>62.63525390625</v>
      </c>
      <c r="E98" s="276" t="s">
        <v>323</v>
      </c>
      <c r="F98" s="276" t="s">
        <v>324</v>
      </c>
      <c r="G98" s="276" t="s">
        <v>80</v>
      </c>
      <c r="H98" s="276" t="s">
        <v>733</v>
      </c>
      <c r="I98" s="276" t="s">
        <v>729</v>
      </c>
      <c r="J98" s="276" t="s">
        <v>11</v>
      </c>
      <c r="K98" s="276" t="s">
        <v>1086</v>
      </c>
    </row>
    <row r="99" spans="1:11" s="264" customFormat="1" x14ac:dyDescent="0.25">
      <c r="A99" s="262">
        <v>2</v>
      </c>
      <c r="B99" s="262" t="s">
        <v>758</v>
      </c>
      <c r="C99" s="262">
        <v>2</v>
      </c>
      <c r="D99" s="285">
        <v>670651.76269531203</v>
      </c>
      <c r="E99" s="262" t="s">
        <v>513</v>
      </c>
      <c r="F99" s="262" t="s">
        <v>514</v>
      </c>
      <c r="G99" s="262" t="s">
        <v>189</v>
      </c>
      <c r="H99" s="262" t="s">
        <v>190</v>
      </c>
      <c r="I99" s="262" t="s">
        <v>727</v>
      </c>
      <c r="J99" s="262" t="s">
        <v>11</v>
      </c>
      <c r="K99" s="262" t="s">
        <v>919</v>
      </c>
    </row>
    <row r="100" spans="1:11" s="264" customFormat="1" x14ac:dyDescent="0.25">
      <c r="A100" s="262">
        <v>2</v>
      </c>
      <c r="B100" s="262" t="s">
        <v>758</v>
      </c>
      <c r="C100" s="262">
        <v>2</v>
      </c>
      <c r="D100" s="285">
        <v>379158.13183593698</v>
      </c>
      <c r="E100" s="262" t="s">
        <v>173</v>
      </c>
      <c r="F100" s="262" t="s">
        <v>174</v>
      </c>
      <c r="G100" s="262" t="s">
        <v>9</v>
      </c>
      <c r="H100" s="262" t="s">
        <v>10</v>
      </c>
      <c r="I100" s="262" t="s">
        <v>727</v>
      </c>
      <c r="J100" s="262" t="s">
        <v>11</v>
      </c>
      <c r="K100" s="262" t="s">
        <v>1087</v>
      </c>
    </row>
    <row r="101" spans="1:11" s="129" customFormat="1" x14ac:dyDescent="0.25">
      <c r="A101" s="130">
        <v>2</v>
      </c>
      <c r="B101" s="130" t="s">
        <v>758</v>
      </c>
      <c r="C101" s="130">
        <v>2</v>
      </c>
      <c r="D101" s="284">
        <v>25402836.8183593</v>
      </c>
      <c r="E101" s="130" t="s">
        <v>225</v>
      </c>
      <c r="F101" s="130" t="s">
        <v>226</v>
      </c>
      <c r="G101" s="130" t="s">
        <v>227</v>
      </c>
      <c r="H101" s="130" t="s">
        <v>228</v>
      </c>
      <c r="I101" s="130" t="s">
        <v>15</v>
      </c>
      <c r="J101" s="130" t="s">
        <v>11</v>
      </c>
      <c r="K101" s="130" t="s">
        <v>980</v>
      </c>
    </row>
    <row r="102" spans="1:11" s="129" customFormat="1" x14ac:dyDescent="0.25">
      <c r="A102" s="130">
        <v>2</v>
      </c>
      <c r="B102" s="130" t="s">
        <v>758</v>
      </c>
      <c r="C102" s="130">
        <v>2</v>
      </c>
      <c r="D102" s="284">
        <v>782060.1796875</v>
      </c>
      <c r="E102" s="130" t="s">
        <v>223</v>
      </c>
      <c r="F102" s="130" t="s">
        <v>224</v>
      </c>
      <c r="G102" s="130" t="s">
        <v>80</v>
      </c>
      <c r="H102" s="130" t="s">
        <v>733</v>
      </c>
      <c r="I102" s="130" t="s">
        <v>15</v>
      </c>
      <c r="J102" s="130" t="s">
        <v>11</v>
      </c>
      <c r="K102" s="130" t="s">
        <v>920</v>
      </c>
    </row>
    <row r="103" spans="1:11" s="264" customFormat="1" x14ac:dyDescent="0.25">
      <c r="A103" s="262">
        <v>2</v>
      </c>
      <c r="B103" s="262" t="s">
        <v>758</v>
      </c>
      <c r="C103" s="262">
        <v>2</v>
      </c>
      <c r="D103" s="285">
        <v>4584629.94677734</v>
      </c>
      <c r="E103" s="262" t="s">
        <v>305</v>
      </c>
      <c r="F103" s="262" t="s">
        <v>306</v>
      </c>
      <c r="G103" s="262" t="s">
        <v>80</v>
      </c>
      <c r="H103" s="262" t="s">
        <v>733</v>
      </c>
      <c r="I103" s="262" t="s">
        <v>727</v>
      </c>
      <c r="J103" s="262" t="s">
        <v>11</v>
      </c>
      <c r="K103" s="262" t="s">
        <v>1088</v>
      </c>
    </row>
    <row r="104" spans="1:11" s="129" customFormat="1" x14ac:dyDescent="0.25">
      <c r="A104" s="130">
        <v>2</v>
      </c>
      <c r="B104" s="130" t="s">
        <v>758</v>
      </c>
      <c r="C104" s="130">
        <v>2</v>
      </c>
      <c r="D104" s="284">
        <v>1249539.8666992099</v>
      </c>
      <c r="E104" s="130" t="s">
        <v>519</v>
      </c>
      <c r="F104" s="130" t="s">
        <v>520</v>
      </c>
      <c r="G104" s="130" t="s">
        <v>80</v>
      </c>
      <c r="H104" s="130" t="s">
        <v>733</v>
      </c>
      <c r="I104" s="130" t="s">
        <v>15</v>
      </c>
      <c r="J104" s="130" t="s">
        <v>11</v>
      </c>
      <c r="K104" s="130" t="s">
        <v>1089</v>
      </c>
    </row>
    <row r="105" spans="1:11" s="129" customFormat="1" x14ac:dyDescent="0.25">
      <c r="A105" s="130">
        <v>2</v>
      </c>
      <c r="B105" s="130" t="s">
        <v>758</v>
      </c>
      <c r="C105" s="130">
        <v>2</v>
      </c>
      <c r="D105" s="284">
        <v>571150.88183593703</v>
      </c>
      <c r="E105" s="130" t="s">
        <v>185</v>
      </c>
      <c r="F105" s="130" t="s">
        <v>186</v>
      </c>
      <c r="G105" s="130" t="s">
        <v>80</v>
      </c>
      <c r="H105" s="130" t="s">
        <v>733</v>
      </c>
      <c r="I105" s="130" t="s">
        <v>15</v>
      </c>
      <c r="J105" s="130" t="s">
        <v>11</v>
      </c>
      <c r="K105" s="130" t="s">
        <v>1090</v>
      </c>
    </row>
    <row r="106" spans="1:11" s="218" customFormat="1" x14ac:dyDescent="0.25">
      <c r="A106" s="265">
        <v>2</v>
      </c>
      <c r="B106" s="265" t="s">
        <v>758</v>
      </c>
      <c r="C106" s="265">
        <v>2</v>
      </c>
      <c r="D106" s="289">
        <v>1142428.6137695301</v>
      </c>
      <c r="E106" s="265" t="s">
        <v>305</v>
      </c>
      <c r="F106" s="265" t="s">
        <v>306</v>
      </c>
      <c r="G106" s="265" t="s">
        <v>80</v>
      </c>
      <c r="H106" s="265" t="s">
        <v>733</v>
      </c>
      <c r="I106" s="265" t="s">
        <v>728</v>
      </c>
      <c r="J106" s="265" t="s">
        <v>11</v>
      </c>
      <c r="K106" s="265" t="s">
        <v>1091</v>
      </c>
    </row>
    <row r="107" spans="1:11" s="218" customFormat="1" x14ac:dyDescent="0.25">
      <c r="A107" s="265">
        <v>2</v>
      </c>
      <c r="B107" s="265" t="s">
        <v>758</v>
      </c>
      <c r="C107" s="265">
        <v>2</v>
      </c>
      <c r="D107" s="289">
        <v>2570129.2690429599</v>
      </c>
      <c r="E107" s="265" t="s">
        <v>44</v>
      </c>
      <c r="F107" s="265" t="s">
        <v>45</v>
      </c>
      <c r="G107" s="265" t="s">
        <v>46</v>
      </c>
      <c r="H107" s="265" t="s">
        <v>739</v>
      </c>
      <c r="I107" s="265" t="s">
        <v>728</v>
      </c>
      <c r="J107" s="265" t="s">
        <v>11</v>
      </c>
      <c r="K107" s="265" t="s">
        <v>985</v>
      </c>
    </row>
    <row r="108" spans="1:11" s="129" customFormat="1" x14ac:dyDescent="0.25">
      <c r="A108" s="130">
        <v>2</v>
      </c>
      <c r="B108" s="130" t="s">
        <v>758</v>
      </c>
      <c r="C108" s="130">
        <v>2</v>
      </c>
      <c r="D108" s="284">
        <v>2095451.3808593701</v>
      </c>
      <c r="E108" s="130" t="s">
        <v>7</v>
      </c>
      <c r="F108" s="130" t="s">
        <v>8</v>
      </c>
      <c r="G108" s="130" t="s">
        <v>9</v>
      </c>
      <c r="H108" s="130" t="s">
        <v>10</v>
      </c>
      <c r="I108" s="130" t="s">
        <v>15</v>
      </c>
      <c r="J108" s="130" t="s">
        <v>11</v>
      </c>
      <c r="K108" s="130" t="s">
        <v>1092</v>
      </c>
    </row>
    <row r="109" spans="1:11" s="129" customFormat="1" x14ac:dyDescent="0.25">
      <c r="A109" s="130">
        <v>2</v>
      </c>
      <c r="B109" s="130" t="s">
        <v>758</v>
      </c>
      <c r="C109" s="130">
        <v>2</v>
      </c>
      <c r="D109" s="284">
        <v>4275554.7939453097</v>
      </c>
      <c r="E109" s="130" t="s">
        <v>343</v>
      </c>
      <c r="F109" s="130" t="s">
        <v>344</v>
      </c>
      <c r="G109" s="130" t="s">
        <v>227</v>
      </c>
      <c r="H109" s="130" t="s">
        <v>228</v>
      </c>
      <c r="I109" s="130" t="s">
        <v>15</v>
      </c>
      <c r="J109" s="130" t="s">
        <v>11</v>
      </c>
      <c r="K109" s="130" t="s">
        <v>986</v>
      </c>
    </row>
    <row r="110" spans="1:11" s="264" customFormat="1" x14ac:dyDescent="0.25">
      <c r="A110" s="262">
        <v>2</v>
      </c>
      <c r="B110" s="262" t="s">
        <v>758</v>
      </c>
      <c r="C110" s="262">
        <v>2</v>
      </c>
      <c r="D110" s="285">
        <v>264464.78613281198</v>
      </c>
      <c r="E110" s="262" t="s">
        <v>478</v>
      </c>
      <c r="F110" s="262" t="s">
        <v>479</v>
      </c>
      <c r="G110" s="262" t="s">
        <v>80</v>
      </c>
      <c r="H110" s="262" t="s">
        <v>733</v>
      </c>
      <c r="I110" s="262" t="s">
        <v>727</v>
      </c>
      <c r="J110" s="262" t="s">
        <v>11</v>
      </c>
      <c r="K110" s="262" t="s">
        <v>1093</v>
      </c>
    </row>
    <row r="111" spans="1:11" s="218" customFormat="1" x14ac:dyDescent="0.25">
      <c r="A111" s="265">
        <v>2</v>
      </c>
      <c r="B111" s="265" t="s">
        <v>758</v>
      </c>
      <c r="C111" s="265">
        <v>2</v>
      </c>
      <c r="D111" s="289">
        <v>2471644.00683593</v>
      </c>
      <c r="E111" s="265" t="s">
        <v>59</v>
      </c>
      <c r="F111" s="265" t="s">
        <v>60</v>
      </c>
      <c r="G111" s="265" t="s">
        <v>9</v>
      </c>
      <c r="H111" s="265" t="s">
        <v>10</v>
      </c>
      <c r="I111" s="265" t="s">
        <v>728</v>
      </c>
      <c r="J111" s="265" t="s">
        <v>11</v>
      </c>
      <c r="K111" s="265" t="s">
        <v>1094</v>
      </c>
    </row>
    <row r="112" spans="1:11" s="264" customFormat="1" x14ac:dyDescent="0.25">
      <c r="A112" s="262">
        <v>2</v>
      </c>
      <c r="B112" s="262" t="s">
        <v>758</v>
      </c>
      <c r="C112" s="262">
        <v>2</v>
      </c>
      <c r="D112" s="285">
        <v>3156321.3383789002</v>
      </c>
      <c r="E112" s="262" t="s">
        <v>44</v>
      </c>
      <c r="F112" s="262" t="s">
        <v>45</v>
      </c>
      <c r="G112" s="262" t="s">
        <v>46</v>
      </c>
      <c r="H112" s="262" t="s">
        <v>739</v>
      </c>
      <c r="I112" s="262" t="s">
        <v>727</v>
      </c>
      <c r="J112" s="262" t="s">
        <v>11</v>
      </c>
      <c r="K112" s="262" t="s">
        <v>1095</v>
      </c>
    </row>
    <row r="113" spans="1:11" s="218" customFormat="1" x14ac:dyDescent="0.25">
      <c r="A113" s="265">
        <v>2</v>
      </c>
      <c r="B113" s="265" t="s">
        <v>758</v>
      </c>
      <c r="C113" s="265">
        <v>2</v>
      </c>
      <c r="D113" s="289">
        <v>512075.92089843698</v>
      </c>
      <c r="E113" s="265" t="s">
        <v>519</v>
      </c>
      <c r="F113" s="265" t="s">
        <v>520</v>
      </c>
      <c r="G113" s="265" t="s">
        <v>80</v>
      </c>
      <c r="H113" s="265" t="s">
        <v>733</v>
      </c>
      <c r="I113" s="265" t="s">
        <v>728</v>
      </c>
      <c r="J113" s="265" t="s">
        <v>11</v>
      </c>
      <c r="K113" s="265" t="s">
        <v>1096</v>
      </c>
    </row>
    <row r="114" spans="1:11" s="129" customFormat="1" x14ac:dyDescent="0.25">
      <c r="A114" s="130">
        <v>2</v>
      </c>
      <c r="B114" s="130" t="s">
        <v>758</v>
      </c>
      <c r="C114" s="130">
        <v>2</v>
      </c>
      <c r="D114" s="284">
        <v>373750.53613281198</v>
      </c>
      <c r="E114" s="130" t="s">
        <v>341</v>
      </c>
      <c r="F114" s="130" t="s">
        <v>342</v>
      </c>
      <c r="G114" s="130" t="s">
        <v>9</v>
      </c>
      <c r="H114" s="130" t="s">
        <v>10</v>
      </c>
      <c r="I114" s="130" t="s">
        <v>15</v>
      </c>
      <c r="J114" s="130" t="s">
        <v>11</v>
      </c>
      <c r="K114" s="130" t="s">
        <v>1097</v>
      </c>
    </row>
    <row r="115" spans="1:11" s="218" customFormat="1" x14ac:dyDescent="0.25">
      <c r="A115" s="265">
        <v>2</v>
      </c>
      <c r="B115" s="265" t="s">
        <v>758</v>
      </c>
      <c r="C115" s="265">
        <v>2</v>
      </c>
      <c r="D115" s="289">
        <v>385.00927734375</v>
      </c>
      <c r="E115" s="265" t="s">
        <v>553</v>
      </c>
      <c r="F115" s="265" t="s">
        <v>554</v>
      </c>
      <c r="G115" s="265" t="s">
        <v>80</v>
      </c>
      <c r="H115" s="265" t="s">
        <v>733</v>
      </c>
      <c r="I115" s="265" t="s">
        <v>728</v>
      </c>
      <c r="J115" s="265" t="s">
        <v>11</v>
      </c>
      <c r="K115" s="265" t="s">
        <v>921</v>
      </c>
    </row>
    <row r="116" spans="1:11" s="218" customFormat="1" x14ac:dyDescent="0.25">
      <c r="A116" s="265">
        <v>2</v>
      </c>
      <c r="B116" s="265" t="s">
        <v>758</v>
      </c>
      <c r="C116" s="265">
        <v>2</v>
      </c>
      <c r="D116" s="289">
        <v>705391.41357421805</v>
      </c>
      <c r="E116" s="265" t="s">
        <v>223</v>
      </c>
      <c r="F116" s="265" t="s">
        <v>224</v>
      </c>
      <c r="G116" s="265" t="s">
        <v>80</v>
      </c>
      <c r="H116" s="265" t="s">
        <v>733</v>
      </c>
      <c r="I116" s="265" t="s">
        <v>728</v>
      </c>
      <c r="J116" s="265" t="s">
        <v>11</v>
      </c>
      <c r="K116" s="265" t="s">
        <v>922</v>
      </c>
    </row>
    <row r="117" spans="1:11" s="218" customFormat="1" x14ac:dyDescent="0.25">
      <c r="A117" s="265">
        <v>2</v>
      </c>
      <c r="B117" s="265" t="s">
        <v>758</v>
      </c>
      <c r="C117" s="265">
        <v>2</v>
      </c>
      <c r="D117" s="289">
        <v>3805299.36474609</v>
      </c>
      <c r="E117" s="265" t="s">
        <v>565</v>
      </c>
      <c r="F117" s="265" t="s">
        <v>566</v>
      </c>
      <c r="G117" s="265" t="s">
        <v>189</v>
      </c>
      <c r="H117" s="265" t="s">
        <v>190</v>
      </c>
      <c r="I117" s="265" t="s">
        <v>728</v>
      </c>
      <c r="J117" s="265" t="s">
        <v>11</v>
      </c>
      <c r="K117" s="265" t="s">
        <v>923</v>
      </c>
    </row>
    <row r="118" spans="1:11" s="264" customFormat="1" x14ac:dyDescent="0.25">
      <c r="A118" s="262">
        <v>2</v>
      </c>
      <c r="B118" s="262" t="s">
        <v>758</v>
      </c>
      <c r="C118" s="262">
        <v>2</v>
      </c>
      <c r="D118" s="285">
        <v>460204.98046875</v>
      </c>
      <c r="E118" s="262" t="s">
        <v>245</v>
      </c>
      <c r="F118" s="262" t="s">
        <v>246</v>
      </c>
      <c r="G118" s="262" t="s">
        <v>9</v>
      </c>
      <c r="H118" s="262" t="s">
        <v>10</v>
      </c>
      <c r="I118" s="262" t="s">
        <v>727</v>
      </c>
      <c r="J118" s="262" t="s">
        <v>11</v>
      </c>
      <c r="K118" s="262" t="s">
        <v>993</v>
      </c>
    </row>
    <row r="119" spans="1:11" s="264" customFormat="1" x14ac:dyDescent="0.25">
      <c r="A119" s="262">
        <v>2</v>
      </c>
      <c r="B119" s="262" t="s">
        <v>758</v>
      </c>
      <c r="C119" s="262">
        <v>2</v>
      </c>
      <c r="D119" s="285">
        <v>1467212.52197265</v>
      </c>
      <c r="E119" s="262" t="s">
        <v>393</v>
      </c>
      <c r="F119" s="262" t="s">
        <v>394</v>
      </c>
      <c r="G119" s="262" t="s">
        <v>18</v>
      </c>
      <c r="H119" s="262" t="s">
        <v>19</v>
      </c>
      <c r="I119" s="262" t="s">
        <v>727</v>
      </c>
      <c r="J119" s="262" t="s">
        <v>11</v>
      </c>
      <c r="K119" s="262" t="s">
        <v>899</v>
      </c>
    </row>
    <row r="120" spans="1:11" s="129" customFormat="1" x14ac:dyDescent="0.25">
      <c r="A120" s="130">
        <v>2</v>
      </c>
      <c r="B120" s="130" t="s">
        <v>758</v>
      </c>
      <c r="C120" s="130">
        <v>2</v>
      </c>
      <c r="D120" s="284">
        <v>616229.65869140602</v>
      </c>
      <c r="E120" s="130" t="s">
        <v>434</v>
      </c>
      <c r="F120" s="130" t="s">
        <v>435</v>
      </c>
      <c r="G120" s="130" t="s">
        <v>80</v>
      </c>
      <c r="H120" s="130" t="s">
        <v>733</v>
      </c>
      <c r="I120" s="130" t="s">
        <v>15</v>
      </c>
      <c r="J120" s="130" t="s">
        <v>11</v>
      </c>
      <c r="K120" s="130" t="s">
        <v>900</v>
      </c>
    </row>
    <row r="121" spans="1:11" s="218" customFormat="1" x14ac:dyDescent="0.25">
      <c r="A121" s="265">
        <v>2</v>
      </c>
      <c r="B121" s="265" t="s">
        <v>758</v>
      </c>
      <c r="C121" s="265">
        <v>2</v>
      </c>
      <c r="D121" s="289">
        <v>3278496.8105468699</v>
      </c>
      <c r="E121" s="265" t="s">
        <v>498</v>
      </c>
      <c r="F121" s="265" t="s">
        <v>499</v>
      </c>
      <c r="G121" s="265" t="s">
        <v>33</v>
      </c>
      <c r="H121" s="265" t="s">
        <v>34</v>
      </c>
      <c r="I121" s="265" t="s">
        <v>728</v>
      </c>
      <c r="J121" s="265" t="s">
        <v>11</v>
      </c>
      <c r="K121" s="265" t="s">
        <v>924</v>
      </c>
    </row>
    <row r="122" spans="1:11" s="218" customFormat="1" x14ac:dyDescent="0.25">
      <c r="A122" s="265">
        <v>2</v>
      </c>
      <c r="B122" s="265" t="s">
        <v>758</v>
      </c>
      <c r="C122" s="265">
        <v>2</v>
      </c>
      <c r="D122" s="289">
        <v>1360936.92578125</v>
      </c>
      <c r="E122" s="265" t="s">
        <v>87</v>
      </c>
      <c r="F122" s="265" t="s">
        <v>88</v>
      </c>
      <c r="G122" s="265" t="s">
        <v>80</v>
      </c>
      <c r="H122" s="265" t="s">
        <v>733</v>
      </c>
      <c r="I122" s="265" t="s">
        <v>728</v>
      </c>
      <c r="J122" s="265" t="s">
        <v>11</v>
      </c>
      <c r="K122" s="265" t="s">
        <v>1098</v>
      </c>
    </row>
    <row r="123" spans="1:11" s="129" customFormat="1" x14ac:dyDescent="0.25">
      <c r="A123" s="130">
        <v>2</v>
      </c>
      <c r="B123" s="130" t="s">
        <v>758</v>
      </c>
      <c r="C123" s="130">
        <v>2</v>
      </c>
      <c r="D123" s="284">
        <v>3403253.0683593699</v>
      </c>
      <c r="E123" s="130" t="s">
        <v>565</v>
      </c>
      <c r="F123" s="130" t="s">
        <v>566</v>
      </c>
      <c r="G123" s="130" t="s">
        <v>189</v>
      </c>
      <c r="H123" s="130" t="s">
        <v>190</v>
      </c>
      <c r="I123" s="130" t="s">
        <v>15</v>
      </c>
      <c r="J123" s="130" t="s">
        <v>11</v>
      </c>
      <c r="K123" s="130" t="s">
        <v>925</v>
      </c>
    </row>
    <row r="124" spans="1:11" s="218" customFormat="1" x14ac:dyDescent="0.25">
      <c r="A124" s="265">
        <v>2</v>
      </c>
      <c r="B124" s="265" t="s">
        <v>758</v>
      </c>
      <c r="C124" s="265">
        <v>2</v>
      </c>
      <c r="D124" s="289">
        <v>832578.83544921805</v>
      </c>
      <c r="E124" s="265" t="s">
        <v>343</v>
      </c>
      <c r="F124" s="265" t="s">
        <v>344</v>
      </c>
      <c r="G124" s="265" t="s">
        <v>227</v>
      </c>
      <c r="H124" s="265" t="s">
        <v>228</v>
      </c>
      <c r="I124" s="265" t="s">
        <v>728</v>
      </c>
      <c r="J124" s="265" t="s">
        <v>11</v>
      </c>
      <c r="K124" s="265" t="s">
        <v>995</v>
      </c>
    </row>
    <row r="125" spans="1:11" s="129" customFormat="1" x14ac:dyDescent="0.25">
      <c r="A125" s="130">
        <v>2</v>
      </c>
      <c r="B125" s="130" t="s">
        <v>758</v>
      </c>
      <c r="C125" s="130">
        <v>2</v>
      </c>
      <c r="D125" s="284">
        <v>9132612.5073242094</v>
      </c>
      <c r="E125" s="130" t="s">
        <v>498</v>
      </c>
      <c r="F125" s="130" t="s">
        <v>499</v>
      </c>
      <c r="G125" s="130" t="s">
        <v>33</v>
      </c>
      <c r="H125" s="130" t="s">
        <v>34</v>
      </c>
      <c r="I125" s="130" t="s">
        <v>15</v>
      </c>
      <c r="J125" s="130" t="s">
        <v>11</v>
      </c>
      <c r="K125" s="130" t="s">
        <v>926</v>
      </c>
    </row>
    <row r="126" spans="1:11" s="264" customFormat="1" x14ac:dyDescent="0.25">
      <c r="A126" s="262">
        <v>2</v>
      </c>
      <c r="B126" s="262" t="s">
        <v>758</v>
      </c>
      <c r="C126" s="262">
        <v>2</v>
      </c>
      <c r="D126" s="285">
        <v>1182798.86230468</v>
      </c>
      <c r="E126" s="262" t="s">
        <v>507</v>
      </c>
      <c r="F126" s="262" t="s">
        <v>508</v>
      </c>
      <c r="G126" s="262" t="s">
        <v>80</v>
      </c>
      <c r="H126" s="262" t="s">
        <v>733</v>
      </c>
      <c r="I126" s="262" t="s">
        <v>727</v>
      </c>
      <c r="J126" s="262" t="s">
        <v>11</v>
      </c>
      <c r="K126" s="262" t="s">
        <v>901</v>
      </c>
    </row>
    <row r="127" spans="1:11" s="264" customFormat="1" x14ac:dyDescent="0.25">
      <c r="A127" s="262">
        <v>2</v>
      </c>
      <c r="B127" s="262" t="s">
        <v>758</v>
      </c>
      <c r="C127" s="262">
        <v>2</v>
      </c>
      <c r="D127" s="285">
        <v>455582.98388671799</v>
      </c>
      <c r="E127" s="262" t="s">
        <v>565</v>
      </c>
      <c r="F127" s="262" t="s">
        <v>566</v>
      </c>
      <c r="G127" s="262" t="s">
        <v>189</v>
      </c>
      <c r="H127" s="262" t="s">
        <v>190</v>
      </c>
      <c r="I127" s="262" t="s">
        <v>727</v>
      </c>
      <c r="J127" s="262" t="s">
        <v>11</v>
      </c>
      <c r="K127" s="262" t="s">
        <v>927</v>
      </c>
    </row>
    <row r="128" spans="1:11" s="264" customFormat="1" x14ac:dyDescent="0.25">
      <c r="A128" s="262">
        <v>2</v>
      </c>
      <c r="B128" s="262" t="s">
        <v>758</v>
      </c>
      <c r="C128" s="262">
        <v>2</v>
      </c>
      <c r="D128" s="285">
        <v>2782640.5595703102</v>
      </c>
      <c r="E128" s="262" t="s">
        <v>484</v>
      </c>
      <c r="F128" s="262" t="s">
        <v>485</v>
      </c>
      <c r="G128" s="262" t="s">
        <v>80</v>
      </c>
      <c r="H128" s="262" t="s">
        <v>733</v>
      </c>
      <c r="I128" s="262" t="s">
        <v>727</v>
      </c>
      <c r="J128" s="262" t="s">
        <v>11</v>
      </c>
      <c r="K128" s="262" t="s">
        <v>1099</v>
      </c>
    </row>
    <row r="129" spans="1:11" s="264" customFormat="1" x14ac:dyDescent="0.25">
      <c r="A129" s="262">
        <v>2</v>
      </c>
      <c r="B129" s="262" t="s">
        <v>758</v>
      </c>
      <c r="C129" s="262">
        <v>2</v>
      </c>
      <c r="D129" s="285">
        <v>638660.99902343703</v>
      </c>
      <c r="E129" s="262" t="s">
        <v>126</v>
      </c>
      <c r="F129" s="262" t="s">
        <v>127</v>
      </c>
      <c r="G129" s="262" t="s">
        <v>9</v>
      </c>
      <c r="H129" s="262" t="s">
        <v>10</v>
      </c>
      <c r="I129" s="262" t="s">
        <v>727</v>
      </c>
      <c r="J129" s="262" t="s">
        <v>11</v>
      </c>
      <c r="K129" s="262" t="s">
        <v>1100</v>
      </c>
    </row>
    <row r="130" spans="1:11" s="264" customFormat="1" x14ac:dyDescent="0.25">
      <c r="A130" s="262">
        <v>2</v>
      </c>
      <c r="B130" s="262" t="s">
        <v>758</v>
      </c>
      <c r="C130" s="262">
        <v>2</v>
      </c>
      <c r="D130" s="285">
        <v>2371.41552734375</v>
      </c>
      <c r="E130" s="262" t="s">
        <v>583</v>
      </c>
      <c r="F130" s="262" t="s">
        <v>584</v>
      </c>
      <c r="G130" s="262" t="s">
        <v>80</v>
      </c>
      <c r="H130" s="262" t="s">
        <v>733</v>
      </c>
      <c r="I130" s="262" t="s">
        <v>727</v>
      </c>
      <c r="J130" s="262" t="s">
        <v>11</v>
      </c>
      <c r="K130" s="262" t="s">
        <v>1101</v>
      </c>
    </row>
    <row r="131" spans="1:11" s="264" customFormat="1" x14ac:dyDescent="0.25">
      <c r="A131" s="262">
        <v>2</v>
      </c>
      <c r="B131" s="262" t="s">
        <v>758</v>
      </c>
      <c r="C131" s="262">
        <v>2</v>
      </c>
      <c r="D131" s="285">
        <v>1024205.81542968</v>
      </c>
      <c r="E131" s="262" t="s">
        <v>83</v>
      </c>
      <c r="F131" s="262" t="s">
        <v>84</v>
      </c>
      <c r="G131" s="262" t="s">
        <v>80</v>
      </c>
      <c r="H131" s="262" t="s">
        <v>733</v>
      </c>
      <c r="I131" s="262" t="s">
        <v>727</v>
      </c>
      <c r="J131" s="262" t="s">
        <v>11</v>
      </c>
      <c r="K131" s="262" t="s">
        <v>1102</v>
      </c>
    </row>
    <row r="132" spans="1:11" s="129" customFormat="1" x14ac:dyDescent="0.25">
      <c r="A132" s="130">
        <v>2</v>
      </c>
      <c r="B132" s="130" t="s">
        <v>758</v>
      </c>
      <c r="C132" s="130">
        <v>2</v>
      </c>
      <c r="D132" s="284">
        <v>4067330.3227539002</v>
      </c>
      <c r="E132" s="130" t="s">
        <v>245</v>
      </c>
      <c r="F132" s="130" t="s">
        <v>246</v>
      </c>
      <c r="G132" s="130" t="s">
        <v>9</v>
      </c>
      <c r="H132" s="130" t="s">
        <v>10</v>
      </c>
      <c r="I132" s="130" t="s">
        <v>15</v>
      </c>
      <c r="J132" s="130" t="s">
        <v>11</v>
      </c>
      <c r="K132" s="130" t="s">
        <v>1002</v>
      </c>
    </row>
    <row r="133" spans="1:11" s="278" customFormat="1" x14ac:dyDescent="0.25">
      <c r="A133" s="276">
        <v>2</v>
      </c>
      <c r="B133" s="276" t="s">
        <v>758</v>
      </c>
      <c r="C133" s="276">
        <v>2</v>
      </c>
      <c r="D133" s="291">
        <v>32613.752441406199</v>
      </c>
      <c r="E133" s="276" t="s">
        <v>519</v>
      </c>
      <c r="F133" s="276" t="s">
        <v>520</v>
      </c>
      <c r="G133" s="276" t="s">
        <v>80</v>
      </c>
      <c r="H133" s="276" t="s">
        <v>733</v>
      </c>
      <c r="I133" s="276" t="s">
        <v>729</v>
      </c>
      <c r="J133" s="276" t="s">
        <v>11</v>
      </c>
      <c r="K133" s="276" t="s">
        <v>1103</v>
      </c>
    </row>
    <row r="134" spans="1:11" s="275" customFormat="1" x14ac:dyDescent="0.25">
      <c r="A134" s="273">
        <v>2</v>
      </c>
      <c r="B134" s="273" t="s">
        <v>758</v>
      </c>
      <c r="C134" s="273">
        <v>2</v>
      </c>
      <c r="D134" s="287">
        <v>189752.296875</v>
      </c>
      <c r="E134" s="273" t="s">
        <v>343</v>
      </c>
      <c r="F134" s="273" t="s">
        <v>344</v>
      </c>
      <c r="G134" s="273" t="s">
        <v>227</v>
      </c>
      <c r="H134" s="273" t="s">
        <v>228</v>
      </c>
      <c r="I134" s="273" t="s">
        <v>730</v>
      </c>
      <c r="J134" s="273" t="s">
        <v>11</v>
      </c>
      <c r="K134" s="273" t="s">
        <v>1003</v>
      </c>
    </row>
    <row r="135" spans="1:11" s="218" customFormat="1" x14ac:dyDescent="0.25">
      <c r="A135" s="265">
        <v>2</v>
      </c>
      <c r="B135" s="265" t="s">
        <v>758</v>
      </c>
      <c r="C135" s="265">
        <v>2</v>
      </c>
      <c r="D135" s="289">
        <v>327120.77050781198</v>
      </c>
      <c r="E135" s="265" t="s">
        <v>513</v>
      </c>
      <c r="F135" s="265" t="s">
        <v>514</v>
      </c>
      <c r="G135" s="265" t="s">
        <v>189</v>
      </c>
      <c r="H135" s="265" t="s">
        <v>190</v>
      </c>
      <c r="I135" s="265" t="s">
        <v>728</v>
      </c>
      <c r="J135" s="265" t="s">
        <v>11</v>
      </c>
      <c r="K135" s="265" t="s">
        <v>928</v>
      </c>
    </row>
    <row r="136" spans="1:11" s="129" customFormat="1" x14ac:dyDescent="0.25">
      <c r="A136" s="130">
        <v>2</v>
      </c>
      <c r="B136" s="130" t="s">
        <v>758</v>
      </c>
      <c r="C136" s="130">
        <v>2</v>
      </c>
      <c r="D136" s="284">
        <v>18333808.353027299</v>
      </c>
      <c r="E136" s="130" t="s">
        <v>207</v>
      </c>
      <c r="F136" s="130" t="s">
        <v>208</v>
      </c>
      <c r="G136" s="130" t="s">
        <v>33</v>
      </c>
      <c r="H136" s="130" t="s">
        <v>34</v>
      </c>
      <c r="I136" s="130" t="s">
        <v>15</v>
      </c>
      <c r="J136" s="130" t="s">
        <v>11</v>
      </c>
      <c r="K136" s="130" t="s">
        <v>1010</v>
      </c>
    </row>
    <row r="137" spans="1:11" s="218" customFormat="1" x14ac:dyDescent="0.25">
      <c r="A137" s="265">
        <v>2</v>
      </c>
      <c r="B137" s="265" t="s">
        <v>758</v>
      </c>
      <c r="C137" s="265">
        <v>2</v>
      </c>
      <c r="D137" s="289">
        <v>29015.4345703125</v>
      </c>
      <c r="E137" s="265" t="s">
        <v>434</v>
      </c>
      <c r="F137" s="265" t="s">
        <v>435</v>
      </c>
      <c r="G137" s="265" t="s">
        <v>80</v>
      </c>
      <c r="H137" s="265" t="s">
        <v>733</v>
      </c>
      <c r="I137" s="265" t="s">
        <v>728</v>
      </c>
      <c r="J137" s="265" t="s">
        <v>11</v>
      </c>
      <c r="K137" s="265" t="s">
        <v>903</v>
      </c>
    </row>
    <row r="138" spans="1:11" s="129" customFormat="1" x14ac:dyDescent="0.25">
      <c r="A138" s="130">
        <v>2</v>
      </c>
      <c r="B138" s="130" t="s">
        <v>758</v>
      </c>
      <c r="C138" s="130">
        <v>2</v>
      </c>
      <c r="D138" s="284">
        <v>1184923.61474609</v>
      </c>
      <c r="E138" s="130" t="s">
        <v>361</v>
      </c>
      <c r="F138" s="130" t="s">
        <v>362</v>
      </c>
      <c r="G138" s="130" t="s">
        <v>33</v>
      </c>
      <c r="H138" s="130" t="s">
        <v>34</v>
      </c>
      <c r="I138" s="130" t="s">
        <v>15</v>
      </c>
      <c r="J138" s="130" t="s">
        <v>11</v>
      </c>
      <c r="K138" s="130" t="s">
        <v>929</v>
      </c>
    </row>
    <row r="139" spans="1:11" s="218" customFormat="1" x14ac:dyDescent="0.25">
      <c r="A139" s="265">
        <v>2</v>
      </c>
      <c r="B139" s="265" t="s">
        <v>758</v>
      </c>
      <c r="C139" s="265">
        <v>2</v>
      </c>
      <c r="D139" s="289">
        <v>262920.47509765602</v>
      </c>
      <c r="E139" s="265" t="s">
        <v>583</v>
      </c>
      <c r="F139" s="265" t="s">
        <v>584</v>
      </c>
      <c r="G139" s="265" t="s">
        <v>80</v>
      </c>
      <c r="H139" s="265" t="s">
        <v>733</v>
      </c>
      <c r="I139" s="265" t="s">
        <v>728</v>
      </c>
      <c r="J139" s="265" t="s">
        <v>11</v>
      </c>
      <c r="K139" s="265" t="s">
        <v>1104</v>
      </c>
    </row>
    <row r="140" spans="1:11" s="129" customFormat="1" x14ac:dyDescent="0.25">
      <c r="A140" s="130">
        <v>2</v>
      </c>
      <c r="B140" s="130" t="s">
        <v>758</v>
      </c>
      <c r="C140" s="130">
        <v>2</v>
      </c>
      <c r="D140" s="284">
        <v>699850.38916015602</v>
      </c>
      <c r="E140" s="130" t="s">
        <v>83</v>
      </c>
      <c r="F140" s="130" t="s">
        <v>84</v>
      </c>
      <c r="G140" s="130" t="s">
        <v>80</v>
      </c>
      <c r="H140" s="130" t="s">
        <v>733</v>
      </c>
      <c r="I140" s="130" t="s">
        <v>15</v>
      </c>
      <c r="J140" s="130" t="s">
        <v>11</v>
      </c>
      <c r="K140" s="130" t="s">
        <v>930</v>
      </c>
    </row>
    <row r="141" spans="1:11" s="264" customFormat="1" x14ac:dyDescent="0.25">
      <c r="A141" s="262">
        <v>2</v>
      </c>
      <c r="B141" s="262" t="s">
        <v>758</v>
      </c>
      <c r="C141" s="262">
        <v>2</v>
      </c>
      <c r="D141" s="285">
        <v>2224049</v>
      </c>
      <c r="E141" s="262" t="s">
        <v>325</v>
      </c>
      <c r="F141" s="262" t="s">
        <v>326</v>
      </c>
      <c r="G141" s="262" t="s">
        <v>80</v>
      </c>
      <c r="H141" s="262" t="s">
        <v>733</v>
      </c>
      <c r="I141" s="262" t="s">
        <v>727</v>
      </c>
      <c r="J141" s="262" t="s">
        <v>11</v>
      </c>
      <c r="K141" s="262" t="s">
        <v>1105</v>
      </c>
    </row>
    <row r="142" spans="1:11" s="129" customFormat="1" x14ac:dyDescent="0.25">
      <c r="A142" s="130">
        <v>2</v>
      </c>
      <c r="B142" s="130" t="s">
        <v>758</v>
      </c>
      <c r="C142" s="130">
        <v>2</v>
      </c>
      <c r="D142" s="284">
        <v>367475.7421875</v>
      </c>
      <c r="E142" s="130" t="s">
        <v>173</v>
      </c>
      <c r="F142" s="130" t="s">
        <v>174</v>
      </c>
      <c r="G142" s="130" t="s">
        <v>9</v>
      </c>
      <c r="H142" s="130" t="s">
        <v>10</v>
      </c>
      <c r="I142" s="130" t="s">
        <v>15</v>
      </c>
      <c r="J142" s="130" t="s">
        <v>11</v>
      </c>
      <c r="K142" s="130" t="s">
        <v>1106</v>
      </c>
    </row>
    <row r="143" spans="1:11" s="28" customFormat="1" x14ac:dyDescent="0.25">
      <c r="A143" s="86">
        <v>2</v>
      </c>
      <c r="B143" s="86" t="s">
        <v>758</v>
      </c>
      <c r="C143" s="86">
        <v>2</v>
      </c>
      <c r="D143" s="290">
        <v>1118091.79052734</v>
      </c>
      <c r="E143" s="86" t="s">
        <v>31</v>
      </c>
      <c r="F143" s="86" t="s">
        <v>32</v>
      </c>
      <c r="G143" s="86" t="s">
        <v>33</v>
      </c>
      <c r="H143" s="86" t="s">
        <v>34</v>
      </c>
      <c r="I143" s="86" t="s">
        <v>726</v>
      </c>
      <c r="J143" s="86" t="s">
        <v>105</v>
      </c>
      <c r="K143" s="86" t="s">
        <v>1107</v>
      </c>
    </row>
    <row r="144" spans="1:11" s="218" customFormat="1" x14ac:dyDescent="0.25">
      <c r="A144" s="265">
        <v>2</v>
      </c>
      <c r="B144" s="265" t="s">
        <v>758</v>
      </c>
      <c r="C144" s="265">
        <v>2</v>
      </c>
      <c r="D144" s="289">
        <v>379964.49755859299</v>
      </c>
      <c r="E144" s="265" t="s">
        <v>101</v>
      </c>
      <c r="F144" s="265" t="s">
        <v>102</v>
      </c>
      <c r="G144" s="265" t="s">
        <v>9</v>
      </c>
      <c r="H144" s="265" t="s">
        <v>10</v>
      </c>
      <c r="I144" s="265" t="s">
        <v>728</v>
      </c>
      <c r="J144" s="265" t="s">
        <v>11</v>
      </c>
      <c r="K144" s="265" t="s">
        <v>1108</v>
      </c>
    </row>
    <row r="145" spans="1:11" s="218" customFormat="1" x14ac:dyDescent="0.25">
      <c r="A145" s="265">
        <v>2</v>
      </c>
      <c r="B145" s="265" t="s">
        <v>758</v>
      </c>
      <c r="C145" s="265">
        <v>2</v>
      </c>
      <c r="D145" s="289">
        <v>720172.49511718703</v>
      </c>
      <c r="E145" s="265" t="s">
        <v>507</v>
      </c>
      <c r="F145" s="265" t="s">
        <v>508</v>
      </c>
      <c r="G145" s="265" t="s">
        <v>80</v>
      </c>
      <c r="H145" s="265" t="s">
        <v>733</v>
      </c>
      <c r="I145" s="265" t="s">
        <v>728</v>
      </c>
      <c r="J145" s="265" t="s">
        <v>11</v>
      </c>
      <c r="K145" s="265" t="s">
        <v>905</v>
      </c>
    </row>
    <row r="146" spans="1:11" s="129" customFormat="1" x14ac:dyDescent="0.25">
      <c r="A146" s="130">
        <v>2</v>
      </c>
      <c r="B146" s="130" t="s">
        <v>758</v>
      </c>
      <c r="C146" s="130">
        <v>2</v>
      </c>
      <c r="D146" s="284">
        <v>209245.77832031201</v>
      </c>
      <c r="E146" s="130" t="s">
        <v>478</v>
      </c>
      <c r="F146" s="130" t="s">
        <v>479</v>
      </c>
      <c r="G146" s="130" t="s">
        <v>80</v>
      </c>
      <c r="H146" s="130" t="s">
        <v>733</v>
      </c>
      <c r="I146" s="130" t="s">
        <v>15</v>
      </c>
      <c r="J146" s="130" t="s">
        <v>11</v>
      </c>
      <c r="K146" s="130" t="s">
        <v>1109</v>
      </c>
    </row>
    <row r="147" spans="1:11" s="129" customFormat="1" x14ac:dyDescent="0.25">
      <c r="A147" s="130">
        <v>2</v>
      </c>
      <c r="B147" s="130" t="s">
        <v>758</v>
      </c>
      <c r="C147" s="130">
        <v>2</v>
      </c>
      <c r="D147" s="284">
        <v>159612.654296875</v>
      </c>
      <c r="E147" s="130" t="s">
        <v>513</v>
      </c>
      <c r="F147" s="130" t="s">
        <v>514</v>
      </c>
      <c r="G147" s="130" t="s">
        <v>189</v>
      </c>
      <c r="H147" s="130" t="s">
        <v>190</v>
      </c>
      <c r="I147" s="130" t="s">
        <v>15</v>
      </c>
      <c r="J147" s="130" t="s">
        <v>11</v>
      </c>
      <c r="K147" s="130" t="s">
        <v>931</v>
      </c>
    </row>
    <row r="148" spans="1:11" s="264" customFormat="1" x14ac:dyDescent="0.25">
      <c r="A148" s="262">
        <v>2</v>
      </c>
      <c r="B148" s="262" t="s">
        <v>758</v>
      </c>
      <c r="C148" s="262">
        <v>2</v>
      </c>
      <c r="D148" s="285">
        <v>623253.65185546805</v>
      </c>
      <c r="E148" s="262" t="s">
        <v>341</v>
      </c>
      <c r="F148" s="262" t="s">
        <v>342</v>
      </c>
      <c r="G148" s="262" t="s">
        <v>9</v>
      </c>
      <c r="H148" s="262" t="s">
        <v>10</v>
      </c>
      <c r="I148" s="262" t="s">
        <v>727</v>
      </c>
      <c r="J148" s="262" t="s">
        <v>11</v>
      </c>
      <c r="K148" s="262" t="s">
        <v>1110</v>
      </c>
    </row>
    <row r="149" spans="1:11" s="264" customFormat="1" x14ac:dyDescent="0.25">
      <c r="A149" s="262">
        <v>2</v>
      </c>
      <c r="B149" s="262" t="s">
        <v>758</v>
      </c>
      <c r="C149" s="262">
        <v>2</v>
      </c>
      <c r="D149" s="285">
        <v>458489.5</v>
      </c>
      <c r="E149" s="262" t="s">
        <v>519</v>
      </c>
      <c r="F149" s="262" t="s">
        <v>520</v>
      </c>
      <c r="G149" s="262" t="s">
        <v>80</v>
      </c>
      <c r="H149" s="262" t="s">
        <v>733</v>
      </c>
      <c r="I149" s="262" t="s">
        <v>727</v>
      </c>
      <c r="J149" s="262" t="s">
        <v>11</v>
      </c>
      <c r="K149" s="262" t="s">
        <v>1111</v>
      </c>
    </row>
    <row r="150" spans="1:11" s="218" customFormat="1" x14ac:dyDescent="0.25">
      <c r="A150" s="265">
        <v>2</v>
      </c>
      <c r="B150" s="265" t="s">
        <v>758</v>
      </c>
      <c r="C150" s="265">
        <v>2</v>
      </c>
      <c r="D150" s="289">
        <v>408558.57519531198</v>
      </c>
      <c r="E150" s="265" t="s">
        <v>484</v>
      </c>
      <c r="F150" s="265" t="s">
        <v>485</v>
      </c>
      <c r="G150" s="265" t="s">
        <v>80</v>
      </c>
      <c r="H150" s="265" t="s">
        <v>733</v>
      </c>
      <c r="I150" s="265" t="s">
        <v>728</v>
      </c>
      <c r="J150" s="265" t="s">
        <v>11</v>
      </c>
      <c r="K150" s="265" t="s">
        <v>1112</v>
      </c>
    </row>
    <row r="151" spans="1:11" s="129" customFormat="1" x14ac:dyDescent="0.25">
      <c r="A151" s="130">
        <v>2</v>
      </c>
      <c r="B151" s="130" t="s">
        <v>758</v>
      </c>
      <c r="C151" s="130">
        <v>2</v>
      </c>
      <c r="D151" s="284">
        <v>19699.999511718699</v>
      </c>
      <c r="E151" s="130" t="s">
        <v>553</v>
      </c>
      <c r="F151" s="130" t="s">
        <v>554</v>
      </c>
      <c r="G151" s="130" t="s">
        <v>80</v>
      </c>
      <c r="H151" s="130" t="s">
        <v>733</v>
      </c>
      <c r="I151" s="130" t="s">
        <v>15</v>
      </c>
      <c r="J151" s="130" t="s">
        <v>11</v>
      </c>
      <c r="K151" s="130" t="s">
        <v>932</v>
      </c>
    </row>
    <row r="152" spans="1:11" s="264" customFormat="1" x14ac:dyDescent="0.25">
      <c r="A152" s="262">
        <v>2</v>
      </c>
      <c r="B152" s="262" t="s">
        <v>758</v>
      </c>
      <c r="C152" s="262">
        <v>2</v>
      </c>
      <c r="D152" s="285">
        <v>187412.53759765599</v>
      </c>
      <c r="E152" s="262" t="s">
        <v>269</v>
      </c>
      <c r="F152" s="262" t="s">
        <v>270</v>
      </c>
      <c r="G152" s="262" t="s">
        <v>9</v>
      </c>
      <c r="H152" s="262" t="s">
        <v>10</v>
      </c>
      <c r="I152" s="262" t="s">
        <v>727</v>
      </c>
      <c r="J152" s="262" t="s">
        <v>11</v>
      </c>
      <c r="K152" s="262" t="s">
        <v>1113</v>
      </c>
    </row>
    <row r="153" spans="1:11" s="218" customFormat="1" x14ac:dyDescent="0.25">
      <c r="A153" s="265">
        <v>2</v>
      </c>
      <c r="B153" s="265" t="s">
        <v>758</v>
      </c>
      <c r="C153" s="265">
        <v>2</v>
      </c>
      <c r="D153" s="289">
        <v>311478.49072265602</v>
      </c>
      <c r="E153" s="265" t="s">
        <v>203</v>
      </c>
      <c r="F153" s="265" t="s">
        <v>204</v>
      </c>
      <c r="G153" s="265" t="s">
        <v>80</v>
      </c>
      <c r="H153" s="265" t="s">
        <v>733</v>
      </c>
      <c r="I153" s="265" t="s">
        <v>728</v>
      </c>
      <c r="J153" s="265" t="s">
        <v>11</v>
      </c>
      <c r="K153" s="265" t="s">
        <v>1114</v>
      </c>
    </row>
    <row r="154" spans="1:11" s="281" customFormat="1" x14ac:dyDescent="0.25">
      <c r="A154" s="279">
        <v>2</v>
      </c>
      <c r="B154" s="279" t="s">
        <v>758</v>
      </c>
      <c r="C154" s="279">
        <v>2</v>
      </c>
      <c r="D154" s="292">
        <v>828072.83984375</v>
      </c>
      <c r="E154" s="279" t="s">
        <v>414</v>
      </c>
      <c r="F154" s="279" t="s">
        <v>415</v>
      </c>
      <c r="G154" s="279" t="s">
        <v>80</v>
      </c>
      <c r="H154" s="279" t="s">
        <v>733</v>
      </c>
      <c r="I154" s="279" t="s">
        <v>731</v>
      </c>
      <c r="J154" s="279" t="s">
        <v>11</v>
      </c>
      <c r="K154" s="279" t="s">
        <v>1115</v>
      </c>
    </row>
    <row r="155" spans="1:11" s="218" customFormat="1" x14ac:dyDescent="0.25">
      <c r="A155" s="265">
        <v>2</v>
      </c>
      <c r="B155" s="265" t="s">
        <v>758</v>
      </c>
      <c r="C155" s="265">
        <v>2</v>
      </c>
      <c r="D155" s="289">
        <v>1414258.60937499</v>
      </c>
      <c r="E155" s="265" t="s">
        <v>175</v>
      </c>
      <c r="F155" s="265" t="s">
        <v>176</v>
      </c>
      <c r="G155" s="265" t="s">
        <v>80</v>
      </c>
      <c r="H155" s="265" t="s">
        <v>733</v>
      </c>
      <c r="I155" s="265" t="s">
        <v>728</v>
      </c>
      <c r="J155" s="265" t="s">
        <v>11</v>
      </c>
      <c r="K155" s="265" t="s">
        <v>933</v>
      </c>
    </row>
    <row r="156" spans="1:11" s="264" customFormat="1" x14ac:dyDescent="0.25">
      <c r="A156" s="262">
        <v>2</v>
      </c>
      <c r="B156" s="262" t="s">
        <v>758</v>
      </c>
      <c r="C156" s="262">
        <v>2</v>
      </c>
      <c r="D156" s="285">
        <v>249060.19091796799</v>
      </c>
      <c r="E156" s="262" t="s">
        <v>361</v>
      </c>
      <c r="F156" s="262" t="s">
        <v>362</v>
      </c>
      <c r="G156" s="262" t="s">
        <v>33</v>
      </c>
      <c r="H156" s="262" t="s">
        <v>34</v>
      </c>
      <c r="I156" s="262" t="s">
        <v>727</v>
      </c>
      <c r="J156" s="262" t="s">
        <v>11</v>
      </c>
      <c r="K156" s="262" t="s">
        <v>934</v>
      </c>
    </row>
    <row r="157" spans="1:11" s="264" customFormat="1" x14ac:dyDescent="0.25">
      <c r="A157" s="262">
        <v>2</v>
      </c>
      <c r="B157" s="262" t="s">
        <v>758</v>
      </c>
      <c r="C157" s="262">
        <v>2</v>
      </c>
      <c r="D157" s="285">
        <v>927290.041015625</v>
      </c>
      <c r="E157" s="262" t="s">
        <v>323</v>
      </c>
      <c r="F157" s="262" t="s">
        <v>324</v>
      </c>
      <c r="G157" s="262" t="s">
        <v>80</v>
      </c>
      <c r="H157" s="262" t="s">
        <v>733</v>
      </c>
      <c r="I157" s="262" t="s">
        <v>727</v>
      </c>
      <c r="J157" s="262" t="s">
        <v>11</v>
      </c>
      <c r="K157" s="262" t="s">
        <v>1116</v>
      </c>
    </row>
    <row r="158" spans="1:11" s="278" customFormat="1" x14ac:dyDescent="0.25">
      <c r="A158" s="276">
        <v>2</v>
      </c>
      <c r="B158" s="276" t="s">
        <v>758</v>
      </c>
      <c r="C158" s="276">
        <v>2</v>
      </c>
      <c r="D158" s="291">
        <v>13652070.997070299</v>
      </c>
      <c r="E158" s="276" t="s">
        <v>414</v>
      </c>
      <c r="F158" s="276" t="s">
        <v>415</v>
      </c>
      <c r="G158" s="276" t="s">
        <v>80</v>
      </c>
      <c r="H158" s="276" t="s">
        <v>733</v>
      </c>
      <c r="I158" s="276" t="s">
        <v>729</v>
      </c>
      <c r="J158" s="276" t="s">
        <v>11</v>
      </c>
      <c r="K158" s="276" t="s">
        <v>907</v>
      </c>
    </row>
    <row r="159" spans="1:11" s="218" customFormat="1" x14ac:dyDescent="0.25">
      <c r="A159" s="265">
        <v>2</v>
      </c>
      <c r="B159" s="265" t="s">
        <v>758</v>
      </c>
      <c r="C159" s="265">
        <v>2</v>
      </c>
      <c r="D159" s="289">
        <v>665822.60839843703</v>
      </c>
      <c r="E159" s="265" t="s">
        <v>153</v>
      </c>
      <c r="F159" s="265" t="s">
        <v>154</v>
      </c>
      <c r="G159" s="265" t="s">
        <v>80</v>
      </c>
      <c r="H159" s="265" t="s">
        <v>733</v>
      </c>
      <c r="I159" s="265" t="s">
        <v>728</v>
      </c>
      <c r="J159" s="265" t="s">
        <v>11</v>
      </c>
      <c r="K159" s="265" t="s">
        <v>935</v>
      </c>
    </row>
    <row r="160" spans="1:11" s="264" customFormat="1" x14ac:dyDescent="0.25">
      <c r="A160" s="262">
        <v>2</v>
      </c>
      <c r="B160" s="262" t="s">
        <v>758</v>
      </c>
      <c r="C160" s="262">
        <v>2</v>
      </c>
      <c r="D160" s="285">
        <v>545361.28613281203</v>
      </c>
      <c r="E160" s="262" t="s">
        <v>153</v>
      </c>
      <c r="F160" s="262" t="s">
        <v>154</v>
      </c>
      <c r="G160" s="262" t="s">
        <v>80</v>
      </c>
      <c r="H160" s="262" t="s">
        <v>733</v>
      </c>
      <c r="I160" s="262" t="s">
        <v>727</v>
      </c>
      <c r="J160" s="262" t="s">
        <v>11</v>
      </c>
      <c r="K160" s="262" t="s">
        <v>936</v>
      </c>
    </row>
    <row r="161" spans="1:11" s="129" customFormat="1" x14ac:dyDescent="0.25">
      <c r="A161" s="130">
        <v>2</v>
      </c>
      <c r="B161" s="130" t="s">
        <v>758</v>
      </c>
      <c r="C161" s="130">
        <v>2</v>
      </c>
      <c r="D161" s="284">
        <v>204324.5703125</v>
      </c>
      <c r="E161" s="130" t="s">
        <v>583</v>
      </c>
      <c r="F161" s="130" t="s">
        <v>584</v>
      </c>
      <c r="G161" s="130" t="s">
        <v>80</v>
      </c>
      <c r="H161" s="130" t="s">
        <v>733</v>
      </c>
      <c r="I161" s="130" t="s">
        <v>15</v>
      </c>
      <c r="J161" s="130" t="s">
        <v>11</v>
      </c>
      <c r="K161" s="130" t="s">
        <v>1117</v>
      </c>
    </row>
    <row r="162" spans="1:11" s="129" customFormat="1" x14ac:dyDescent="0.25">
      <c r="A162" s="130">
        <v>2</v>
      </c>
      <c r="B162" s="130" t="s">
        <v>758</v>
      </c>
      <c r="C162" s="130">
        <v>2</v>
      </c>
      <c r="D162" s="284">
        <v>50267.268066406199</v>
      </c>
      <c r="E162" s="130" t="s">
        <v>299</v>
      </c>
      <c r="F162" s="130" t="s">
        <v>300</v>
      </c>
      <c r="G162" s="130" t="s">
        <v>80</v>
      </c>
      <c r="H162" s="130" t="s">
        <v>733</v>
      </c>
      <c r="I162" s="130" t="s">
        <v>15</v>
      </c>
      <c r="J162" s="130" t="s">
        <v>11</v>
      </c>
      <c r="K162" s="130" t="s">
        <v>908</v>
      </c>
    </row>
    <row r="163" spans="1:11" s="218" customFormat="1" x14ac:dyDescent="0.25">
      <c r="A163" s="265">
        <v>3</v>
      </c>
      <c r="B163" s="265" t="s">
        <v>755</v>
      </c>
      <c r="C163" s="265">
        <v>3</v>
      </c>
      <c r="D163" s="289">
        <v>240.4033203125</v>
      </c>
      <c r="E163" s="265" t="s">
        <v>7</v>
      </c>
      <c r="F163" s="265" t="s">
        <v>8</v>
      </c>
      <c r="G163" s="265" t="s">
        <v>9</v>
      </c>
      <c r="H163" s="265" t="s">
        <v>10</v>
      </c>
      <c r="I163" s="265" t="s">
        <v>728</v>
      </c>
      <c r="J163" s="265" t="s">
        <v>11</v>
      </c>
      <c r="K163" s="265" t="s">
        <v>1048</v>
      </c>
    </row>
    <row r="164" spans="1:11" s="218" customFormat="1" x14ac:dyDescent="0.25">
      <c r="A164" s="265">
        <v>3</v>
      </c>
      <c r="B164" s="265" t="s">
        <v>755</v>
      </c>
      <c r="C164" s="265">
        <v>3</v>
      </c>
      <c r="D164" s="289">
        <v>196370.646484375</v>
      </c>
      <c r="E164" s="265" t="s">
        <v>25</v>
      </c>
      <c r="F164" s="265" t="s">
        <v>26</v>
      </c>
      <c r="G164" s="265" t="s">
        <v>27</v>
      </c>
      <c r="H164" s="265" t="s">
        <v>738</v>
      </c>
      <c r="I164" s="265" t="s">
        <v>728</v>
      </c>
      <c r="J164" s="265" t="s">
        <v>11</v>
      </c>
      <c r="K164" s="265" t="s">
        <v>941</v>
      </c>
    </row>
    <row r="165" spans="1:11" s="28" customFormat="1" x14ac:dyDescent="0.25">
      <c r="A165" s="86">
        <v>3</v>
      </c>
      <c r="B165" s="86" t="s">
        <v>755</v>
      </c>
      <c r="C165" s="86">
        <v>3</v>
      </c>
      <c r="D165" s="290">
        <v>9543224.64208984</v>
      </c>
      <c r="E165" s="86" t="s">
        <v>31</v>
      </c>
      <c r="F165" s="86" t="s">
        <v>32</v>
      </c>
      <c r="G165" s="86" t="s">
        <v>33</v>
      </c>
      <c r="H165" s="86" t="s">
        <v>34</v>
      </c>
      <c r="I165" s="86" t="s">
        <v>726</v>
      </c>
      <c r="J165" s="86" t="s">
        <v>35</v>
      </c>
      <c r="K165" s="86" t="s">
        <v>909</v>
      </c>
    </row>
    <row r="166" spans="1:11" s="218" customFormat="1" x14ac:dyDescent="0.25">
      <c r="A166" s="265">
        <v>3</v>
      </c>
      <c r="B166" s="265" t="s">
        <v>755</v>
      </c>
      <c r="C166" s="265">
        <v>3</v>
      </c>
      <c r="D166" s="289">
        <v>192838.443359375</v>
      </c>
      <c r="E166" s="265" t="s">
        <v>57</v>
      </c>
      <c r="F166" s="265" t="s">
        <v>58</v>
      </c>
      <c r="G166" s="265" t="s">
        <v>46</v>
      </c>
      <c r="H166" s="265" t="s">
        <v>739</v>
      </c>
      <c r="I166" s="265" t="s">
        <v>728</v>
      </c>
      <c r="J166" s="265" t="s">
        <v>11</v>
      </c>
      <c r="K166" s="265" t="s">
        <v>942</v>
      </c>
    </row>
    <row r="167" spans="1:11" s="28" customFormat="1" x14ac:dyDescent="0.25">
      <c r="A167" s="86">
        <v>3</v>
      </c>
      <c r="B167" s="86" t="s">
        <v>755</v>
      </c>
      <c r="C167" s="86">
        <v>3</v>
      </c>
      <c r="D167" s="290">
        <v>3243985.2109375</v>
      </c>
      <c r="E167" s="86" t="s">
        <v>65</v>
      </c>
      <c r="F167" s="86" t="s">
        <v>66</v>
      </c>
      <c r="G167" s="86" t="s">
        <v>27</v>
      </c>
      <c r="H167" s="86" t="s">
        <v>738</v>
      </c>
      <c r="I167" s="86" t="s">
        <v>726</v>
      </c>
      <c r="J167" s="86" t="s">
        <v>35</v>
      </c>
      <c r="K167" s="86" t="s">
        <v>943</v>
      </c>
    </row>
    <row r="168" spans="1:11" s="218" customFormat="1" x14ac:dyDescent="0.25">
      <c r="A168" s="265">
        <v>3</v>
      </c>
      <c r="B168" s="265" t="s">
        <v>755</v>
      </c>
      <c r="C168" s="265">
        <v>3</v>
      </c>
      <c r="D168" s="289">
        <v>180955.16015625</v>
      </c>
      <c r="E168" s="265" t="s">
        <v>91</v>
      </c>
      <c r="F168" s="265" t="s">
        <v>92</v>
      </c>
      <c r="G168" s="265" t="s">
        <v>27</v>
      </c>
      <c r="H168" s="265" t="s">
        <v>738</v>
      </c>
      <c r="I168" s="265" t="s">
        <v>728</v>
      </c>
      <c r="J168" s="265" t="s">
        <v>11</v>
      </c>
      <c r="K168" s="265" t="s">
        <v>944</v>
      </c>
    </row>
    <row r="169" spans="1:11" s="28" customFormat="1" x14ac:dyDescent="0.25">
      <c r="A169" s="86">
        <v>3</v>
      </c>
      <c r="B169" s="86" t="s">
        <v>755</v>
      </c>
      <c r="C169" s="86">
        <v>3</v>
      </c>
      <c r="D169" s="290">
        <v>1142360.4458007801</v>
      </c>
      <c r="E169" s="86" t="s">
        <v>103</v>
      </c>
      <c r="F169" s="86" t="s">
        <v>104</v>
      </c>
      <c r="G169" s="86" t="s">
        <v>27</v>
      </c>
      <c r="H169" s="86" t="s">
        <v>738</v>
      </c>
      <c r="I169" s="86" t="s">
        <v>726</v>
      </c>
      <c r="J169" s="86" t="s">
        <v>105</v>
      </c>
      <c r="K169" s="86" t="s">
        <v>945</v>
      </c>
    </row>
    <row r="170" spans="1:11" s="264" customFormat="1" x14ac:dyDescent="0.25">
      <c r="A170" s="262">
        <v>3</v>
      </c>
      <c r="B170" s="262" t="s">
        <v>755</v>
      </c>
      <c r="C170" s="262">
        <v>3</v>
      </c>
      <c r="D170" s="285">
        <v>78.123046875</v>
      </c>
      <c r="E170" s="262" t="s">
        <v>114</v>
      </c>
      <c r="F170" s="262" t="s">
        <v>115</v>
      </c>
      <c r="G170" s="262" t="s">
        <v>46</v>
      </c>
      <c r="H170" s="262" t="s">
        <v>739</v>
      </c>
      <c r="I170" s="262" t="s">
        <v>727</v>
      </c>
      <c r="J170" s="262" t="s">
        <v>11</v>
      </c>
      <c r="K170" s="262" t="s">
        <v>946</v>
      </c>
    </row>
    <row r="171" spans="1:11" s="218" customFormat="1" x14ac:dyDescent="0.25">
      <c r="A171" s="265">
        <v>3</v>
      </c>
      <c r="B171" s="265" t="s">
        <v>755</v>
      </c>
      <c r="C171" s="265">
        <v>3</v>
      </c>
      <c r="D171" s="289">
        <v>1138.14111328125</v>
      </c>
      <c r="E171" s="265" t="s">
        <v>136</v>
      </c>
      <c r="F171" s="265" t="s">
        <v>137</v>
      </c>
      <c r="G171" s="265" t="s">
        <v>27</v>
      </c>
      <c r="H171" s="265" t="s">
        <v>738</v>
      </c>
      <c r="I171" s="265" t="s">
        <v>728</v>
      </c>
      <c r="J171" s="265" t="s">
        <v>11</v>
      </c>
      <c r="K171" s="265" t="s">
        <v>882</v>
      </c>
    </row>
    <row r="172" spans="1:11" s="129" customFormat="1" x14ac:dyDescent="0.25">
      <c r="A172" s="130">
        <v>3</v>
      </c>
      <c r="B172" s="130" t="s">
        <v>755</v>
      </c>
      <c r="C172" s="130">
        <v>3</v>
      </c>
      <c r="D172" s="284">
        <v>2177357.9072265602</v>
      </c>
      <c r="E172" s="130" t="s">
        <v>147</v>
      </c>
      <c r="F172" s="130" t="s">
        <v>148</v>
      </c>
      <c r="G172" s="130" t="s">
        <v>27</v>
      </c>
      <c r="H172" s="130" t="s">
        <v>738</v>
      </c>
      <c r="I172" s="130" t="s">
        <v>15</v>
      </c>
      <c r="J172" s="130" t="s">
        <v>11</v>
      </c>
      <c r="K172" s="130" t="s">
        <v>947</v>
      </c>
    </row>
    <row r="173" spans="1:11" s="218" customFormat="1" x14ac:dyDescent="0.25">
      <c r="A173" s="265">
        <v>3</v>
      </c>
      <c r="B173" s="265" t="s">
        <v>755</v>
      </c>
      <c r="C173" s="265">
        <v>3</v>
      </c>
      <c r="D173" s="289">
        <v>214497.26708984299</v>
      </c>
      <c r="E173" s="265" t="s">
        <v>147</v>
      </c>
      <c r="F173" s="265" t="s">
        <v>148</v>
      </c>
      <c r="G173" s="265" t="s">
        <v>27</v>
      </c>
      <c r="H173" s="265" t="s">
        <v>738</v>
      </c>
      <c r="I173" s="265" t="s">
        <v>728</v>
      </c>
      <c r="J173" s="265" t="s">
        <v>11</v>
      </c>
      <c r="K173" s="265" t="s">
        <v>948</v>
      </c>
    </row>
    <row r="174" spans="1:11" s="218" customFormat="1" x14ac:dyDescent="0.25">
      <c r="A174" s="265">
        <v>3</v>
      </c>
      <c r="B174" s="265" t="s">
        <v>755</v>
      </c>
      <c r="C174" s="265">
        <v>3</v>
      </c>
      <c r="D174" s="289">
        <v>2025986.2524414</v>
      </c>
      <c r="E174" s="265" t="s">
        <v>207</v>
      </c>
      <c r="F174" s="265" t="s">
        <v>208</v>
      </c>
      <c r="G174" s="265" t="s">
        <v>33</v>
      </c>
      <c r="H174" s="265" t="s">
        <v>34</v>
      </c>
      <c r="I174" s="265" t="s">
        <v>728</v>
      </c>
      <c r="J174" s="265" t="s">
        <v>11</v>
      </c>
      <c r="K174" s="265" t="s">
        <v>1062</v>
      </c>
    </row>
    <row r="175" spans="1:11" s="28" customFormat="1" x14ac:dyDescent="0.25">
      <c r="A175" s="86">
        <v>3</v>
      </c>
      <c r="B175" s="86" t="s">
        <v>755</v>
      </c>
      <c r="C175" s="86">
        <v>3</v>
      </c>
      <c r="D175" s="290">
        <v>917577.21386718703</v>
      </c>
      <c r="E175" s="86" t="s">
        <v>209</v>
      </c>
      <c r="F175" s="86" t="s">
        <v>210</v>
      </c>
      <c r="G175" s="86" t="s">
        <v>27</v>
      </c>
      <c r="H175" s="86" t="s">
        <v>738</v>
      </c>
      <c r="I175" s="86" t="s">
        <v>726</v>
      </c>
      <c r="J175" s="86" t="s">
        <v>35</v>
      </c>
      <c r="K175" s="86" t="s">
        <v>949</v>
      </c>
    </row>
    <row r="176" spans="1:11" s="218" customFormat="1" x14ac:dyDescent="0.25">
      <c r="A176" s="265">
        <v>3</v>
      </c>
      <c r="B176" s="265" t="s">
        <v>755</v>
      </c>
      <c r="C176" s="265">
        <v>3</v>
      </c>
      <c r="D176" s="289">
        <v>2226872.04443359</v>
      </c>
      <c r="E176" s="265" t="s">
        <v>225</v>
      </c>
      <c r="F176" s="265" t="s">
        <v>226</v>
      </c>
      <c r="G176" s="265" t="s">
        <v>227</v>
      </c>
      <c r="H176" s="265" t="s">
        <v>228</v>
      </c>
      <c r="I176" s="265" t="s">
        <v>728</v>
      </c>
      <c r="J176" s="265" t="s">
        <v>11</v>
      </c>
      <c r="K176" s="265" t="s">
        <v>950</v>
      </c>
    </row>
    <row r="177" spans="1:11" s="218" customFormat="1" x14ac:dyDescent="0.25">
      <c r="A177" s="265">
        <v>3</v>
      </c>
      <c r="B177" s="265" t="s">
        <v>755</v>
      </c>
      <c r="C177" s="265">
        <v>3</v>
      </c>
      <c r="D177" s="289">
        <v>119815.68505859299</v>
      </c>
      <c r="E177" s="265" t="s">
        <v>233</v>
      </c>
      <c r="F177" s="265" t="s">
        <v>234</v>
      </c>
      <c r="G177" s="265" t="s">
        <v>80</v>
      </c>
      <c r="H177" s="265" t="s">
        <v>733</v>
      </c>
      <c r="I177" s="265" t="s">
        <v>728</v>
      </c>
      <c r="J177" s="265" t="s">
        <v>11</v>
      </c>
      <c r="K177" s="265" t="s">
        <v>951</v>
      </c>
    </row>
    <row r="178" spans="1:11" s="129" customFormat="1" x14ac:dyDescent="0.25">
      <c r="A178" s="130">
        <v>3</v>
      </c>
      <c r="B178" s="130" t="s">
        <v>755</v>
      </c>
      <c r="C178" s="130">
        <v>3</v>
      </c>
      <c r="D178" s="284">
        <v>1794570.4370117099</v>
      </c>
      <c r="E178" s="130" t="s">
        <v>243</v>
      </c>
      <c r="F178" s="130" t="s">
        <v>244</v>
      </c>
      <c r="G178" s="130" t="s">
        <v>46</v>
      </c>
      <c r="H178" s="130" t="s">
        <v>739</v>
      </c>
      <c r="I178" s="130" t="s">
        <v>15</v>
      </c>
      <c r="J178" s="130" t="s">
        <v>11</v>
      </c>
      <c r="K178" s="130" t="s">
        <v>952</v>
      </c>
    </row>
    <row r="179" spans="1:11" s="218" customFormat="1" x14ac:dyDescent="0.25">
      <c r="A179" s="265">
        <v>3</v>
      </c>
      <c r="B179" s="265" t="s">
        <v>755</v>
      </c>
      <c r="C179" s="265">
        <v>3</v>
      </c>
      <c r="D179" s="289">
        <v>45280.656738281199</v>
      </c>
      <c r="E179" s="265" t="s">
        <v>245</v>
      </c>
      <c r="F179" s="265" t="s">
        <v>246</v>
      </c>
      <c r="G179" s="265" t="s">
        <v>9</v>
      </c>
      <c r="H179" s="265" t="s">
        <v>10</v>
      </c>
      <c r="I179" s="265" t="s">
        <v>728</v>
      </c>
      <c r="J179" s="265" t="s">
        <v>11</v>
      </c>
      <c r="K179" s="265" t="s">
        <v>953</v>
      </c>
    </row>
    <row r="180" spans="1:11" s="264" customFormat="1" x14ac:dyDescent="0.25">
      <c r="A180" s="262">
        <v>3</v>
      </c>
      <c r="B180" s="262" t="s">
        <v>755</v>
      </c>
      <c r="C180" s="262">
        <v>3</v>
      </c>
      <c r="D180" s="285">
        <v>3080588.5844726502</v>
      </c>
      <c r="E180" s="262" t="s">
        <v>207</v>
      </c>
      <c r="F180" s="262" t="s">
        <v>208</v>
      </c>
      <c r="G180" s="262" t="s">
        <v>33</v>
      </c>
      <c r="H180" s="262" t="s">
        <v>34</v>
      </c>
      <c r="I180" s="262" t="s">
        <v>727</v>
      </c>
      <c r="J180" s="262" t="s">
        <v>11</v>
      </c>
      <c r="K180" s="262" t="s">
        <v>1065</v>
      </c>
    </row>
    <row r="181" spans="1:11" s="129" customFormat="1" x14ac:dyDescent="0.25">
      <c r="A181" s="130">
        <v>3</v>
      </c>
      <c r="B181" s="130" t="s">
        <v>755</v>
      </c>
      <c r="C181" s="130">
        <v>3</v>
      </c>
      <c r="D181" s="284">
        <v>1175575.40234375</v>
      </c>
      <c r="E181" s="130" t="s">
        <v>247</v>
      </c>
      <c r="F181" s="130" t="s">
        <v>248</v>
      </c>
      <c r="G181" s="130" t="s">
        <v>46</v>
      </c>
      <c r="H181" s="130" t="s">
        <v>739</v>
      </c>
      <c r="I181" s="130" t="s">
        <v>15</v>
      </c>
      <c r="J181" s="130" t="s">
        <v>11</v>
      </c>
      <c r="K181" s="130" t="s">
        <v>954</v>
      </c>
    </row>
    <row r="182" spans="1:11" s="264" customFormat="1" x14ac:dyDescent="0.25">
      <c r="A182" s="262">
        <v>3</v>
      </c>
      <c r="B182" s="262" t="s">
        <v>755</v>
      </c>
      <c r="C182" s="262">
        <v>3</v>
      </c>
      <c r="D182" s="285">
        <v>74576.7265625</v>
      </c>
      <c r="E182" s="262" t="s">
        <v>249</v>
      </c>
      <c r="F182" s="262" t="s">
        <v>250</v>
      </c>
      <c r="G182" s="262" t="s">
        <v>46</v>
      </c>
      <c r="H182" s="262" t="s">
        <v>739</v>
      </c>
      <c r="I182" s="262" t="s">
        <v>727</v>
      </c>
      <c r="J182" s="262" t="s">
        <v>11</v>
      </c>
      <c r="K182" s="262" t="s">
        <v>955</v>
      </c>
    </row>
    <row r="183" spans="1:11" s="28" customFormat="1" x14ac:dyDescent="0.25">
      <c r="A183" s="86">
        <v>3</v>
      </c>
      <c r="B183" s="86" t="s">
        <v>755</v>
      </c>
      <c r="C183" s="86">
        <v>3</v>
      </c>
      <c r="D183" s="290">
        <v>892287.11865234305</v>
      </c>
      <c r="E183" s="86" t="s">
        <v>251</v>
      </c>
      <c r="F183" s="86" t="s">
        <v>252</v>
      </c>
      <c r="G183" s="86" t="s">
        <v>46</v>
      </c>
      <c r="H183" s="86" t="s">
        <v>739</v>
      </c>
      <c r="I183" s="86" t="s">
        <v>726</v>
      </c>
      <c r="J183" s="86" t="s">
        <v>35</v>
      </c>
      <c r="K183" s="86" t="s">
        <v>956</v>
      </c>
    </row>
    <row r="184" spans="1:11" s="264" customFormat="1" x14ac:dyDescent="0.25">
      <c r="A184" s="262">
        <v>3</v>
      </c>
      <c r="B184" s="262" t="s">
        <v>755</v>
      </c>
      <c r="C184" s="262">
        <v>3</v>
      </c>
      <c r="D184" s="285">
        <v>2616480.6665039002</v>
      </c>
      <c r="E184" s="262" t="s">
        <v>225</v>
      </c>
      <c r="F184" s="262" t="s">
        <v>226</v>
      </c>
      <c r="G184" s="262" t="s">
        <v>227</v>
      </c>
      <c r="H184" s="262" t="s">
        <v>228</v>
      </c>
      <c r="I184" s="262" t="s">
        <v>727</v>
      </c>
      <c r="J184" s="262" t="s">
        <v>11</v>
      </c>
      <c r="K184" s="262" t="s">
        <v>957</v>
      </c>
    </row>
    <row r="185" spans="1:11" s="129" customFormat="1" x14ac:dyDescent="0.25">
      <c r="A185" s="130">
        <v>3</v>
      </c>
      <c r="B185" s="130" t="s">
        <v>755</v>
      </c>
      <c r="C185" s="130">
        <v>3</v>
      </c>
      <c r="D185" s="284">
        <v>288989.90576171799</v>
      </c>
      <c r="E185" s="130" t="s">
        <v>277</v>
      </c>
      <c r="F185" s="130" t="s">
        <v>278</v>
      </c>
      <c r="G185" s="130" t="s">
        <v>46</v>
      </c>
      <c r="H185" s="130" t="s">
        <v>739</v>
      </c>
      <c r="I185" s="130" t="s">
        <v>15</v>
      </c>
      <c r="J185" s="130" t="s">
        <v>11</v>
      </c>
      <c r="K185" s="130" t="s">
        <v>887</v>
      </c>
    </row>
    <row r="186" spans="1:11" s="28" customFormat="1" x14ac:dyDescent="0.25">
      <c r="A186" s="86">
        <v>3</v>
      </c>
      <c r="B186" s="86" t="s">
        <v>755</v>
      </c>
      <c r="C186" s="86">
        <v>3</v>
      </c>
      <c r="D186" s="290">
        <v>2341952.16699218</v>
      </c>
      <c r="E186" s="86" t="s">
        <v>283</v>
      </c>
      <c r="F186" s="86" t="s">
        <v>284</v>
      </c>
      <c r="G186" s="86" t="s">
        <v>27</v>
      </c>
      <c r="H186" s="86" t="s">
        <v>738</v>
      </c>
      <c r="I186" s="86" t="s">
        <v>726</v>
      </c>
      <c r="J186" s="86" t="s">
        <v>35</v>
      </c>
      <c r="K186" s="86" t="s">
        <v>958</v>
      </c>
    </row>
    <row r="187" spans="1:11" s="264" customFormat="1" x14ac:dyDescent="0.25">
      <c r="A187" s="262">
        <v>3</v>
      </c>
      <c r="B187" s="262" t="s">
        <v>755</v>
      </c>
      <c r="C187" s="262">
        <v>3</v>
      </c>
      <c r="D187" s="285">
        <v>5360.33642578125</v>
      </c>
      <c r="E187" s="262" t="s">
        <v>233</v>
      </c>
      <c r="F187" s="262" t="s">
        <v>234</v>
      </c>
      <c r="G187" s="262" t="s">
        <v>80</v>
      </c>
      <c r="H187" s="262" t="s">
        <v>733</v>
      </c>
      <c r="I187" s="262" t="s">
        <v>727</v>
      </c>
      <c r="J187" s="262" t="s">
        <v>11</v>
      </c>
      <c r="K187" s="262" t="s">
        <v>959</v>
      </c>
    </row>
    <row r="188" spans="1:11" s="264" customFormat="1" x14ac:dyDescent="0.25">
      <c r="A188" s="262">
        <v>3</v>
      </c>
      <c r="B188" s="262" t="s">
        <v>755</v>
      </c>
      <c r="C188" s="262">
        <v>3</v>
      </c>
      <c r="D188" s="285">
        <v>1605.57373046875</v>
      </c>
      <c r="E188" s="262" t="s">
        <v>297</v>
      </c>
      <c r="F188" s="262" t="s">
        <v>298</v>
      </c>
      <c r="G188" s="262" t="s">
        <v>46</v>
      </c>
      <c r="H188" s="262" t="s">
        <v>739</v>
      </c>
      <c r="I188" s="262" t="s">
        <v>727</v>
      </c>
      <c r="J188" s="262" t="s">
        <v>11</v>
      </c>
      <c r="K188" s="262" t="s">
        <v>960</v>
      </c>
    </row>
    <row r="189" spans="1:11" s="129" customFormat="1" x14ac:dyDescent="0.25">
      <c r="A189" s="130">
        <v>3</v>
      </c>
      <c r="B189" s="130" t="s">
        <v>755</v>
      </c>
      <c r="C189" s="130">
        <v>3</v>
      </c>
      <c r="D189" s="284">
        <v>753704.93994140602</v>
      </c>
      <c r="E189" s="130" t="s">
        <v>114</v>
      </c>
      <c r="F189" s="130" t="s">
        <v>115</v>
      </c>
      <c r="G189" s="130" t="s">
        <v>46</v>
      </c>
      <c r="H189" s="130" t="s">
        <v>739</v>
      </c>
      <c r="I189" s="130" t="s">
        <v>15</v>
      </c>
      <c r="J189" s="130" t="s">
        <v>11</v>
      </c>
      <c r="K189" s="130" t="s">
        <v>961</v>
      </c>
    </row>
    <row r="190" spans="1:11" s="264" customFormat="1" x14ac:dyDescent="0.25">
      <c r="A190" s="262">
        <v>3</v>
      </c>
      <c r="B190" s="262" t="s">
        <v>755</v>
      </c>
      <c r="C190" s="262">
        <v>3</v>
      </c>
      <c r="D190" s="285">
        <v>856090.19140624895</v>
      </c>
      <c r="E190" s="262" t="s">
        <v>343</v>
      </c>
      <c r="F190" s="262" t="s">
        <v>344</v>
      </c>
      <c r="G190" s="262" t="s">
        <v>227</v>
      </c>
      <c r="H190" s="262" t="s">
        <v>228</v>
      </c>
      <c r="I190" s="262" t="s">
        <v>727</v>
      </c>
      <c r="J190" s="262" t="s">
        <v>11</v>
      </c>
      <c r="K190" s="262" t="s">
        <v>962</v>
      </c>
    </row>
    <row r="191" spans="1:11" s="129" customFormat="1" x14ac:dyDescent="0.25">
      <c r="A191" s="130">
        <v>3</v>
      </c>
      <c r="B191" s="130" t="s">
        <v>755</v>
      </c>
      <c r="C191" s="130">
        <v>3</v>
      </c>
      <c r="D191" s="284">
        <v>92579.5478515625</v>
      </c>
      <c r="E191" s="130" t="s">
        <v>57</v>
      </c>
      <c r="F191" s="130" t="s">
        <v>58</v>
      </c>
      <c r="G191" s="130" t="s">
        <v>46</v>
      </c>
      <c r="H191" s="130" t="s">
        <v>739</v>
      </c>
      <c r="I191" s="130" t="s">
        <v>15</v>
      </c>
      <c r="J191" s="130" t="s">
        <v>11</v>
      </c>
      <c r="K191" s="130" t="s">
        <v>963</v>
      </c>
    </row>
    <row r="192" spans="1:11" s="264" customFormat="1" x14ac:dyDescent="0.25">
      <c r="A192" s="262">
        <v>3</v>
      </c>
      <c r="B192" s="262" t="s">
        <v>755</v>
      </c>
      <c r="C192" s="262">
        <v>3</v>
      </c>
      <c r="D192" s="285">
        <v>240680.34374999901</v>
      </c>
      <c r="E192" s="262" t="s">
        <v>57</v>
      </c>
      <c r="F192" s="262" t="s">
        <v>58</v>
      </c>
      <c r="G192" s="262" t="s">
        <v>46</v>
      </c>
      <c r="H192" s="262" t="s">
        <v>739</v>
      </c>
      <c r="I192" s="262" t="s">
        <v>727</v>
      </c>
      <c r="J192" s="262" t="s">
        <v>11</v>
      </c>
      <c r="K192" s="262" t="s">
        <v>964</v>
      </c>
    </row>
    <row r="193" spans="1:11" s="264" customFormat="1" x14ac:dyDescent="0.25">
      <c r="A193" s="262">
        <v>3</v>
      </c>
      <c r="B193" s="262" t="s">
        <v>755</v>
      </c>
      <c r="C193" s="262">
        <v>3</v>
      </c>
      <c r="D193" s="285">
        <v>389.33935546875</v>
      </c>
      <c r="E193" s="262" t="s">
        <v>381</v>
      </c>
      <c r="F193" s="262" t="s">
        <v>382</v>
      </c>
      <c r="G193" s="262" t="s">
        <v>27</v>
      </c>
      <c r="H193" s="262" t="s">
        <v>738</v>
      </c>
      <c r="I193" s="262" t="s">
        <v>727</v>
      </c>
      <c r="J193" s="262" t="s">
        <v>11</v>
      </c>
      <c r="K193" s="262" t="s">
        <v>965</v>
      </c>
    </row>
    <row r="194" spans="1:11" s="264" customFormat="1" x14ac:dyDescent="0.25">
      <c r="A194" s="262">
        <v>3</v>
      </c>
      <c r="B194" s="262" t="s">
        <v>755</v>
      </c>
      <c r="C194" s="262">
        <v>3</v>
      </c>
      <c r="D194" s="285">
        <v>1808854.4541015599</v>
      </c>
      <c r="E194" s="262" t="s">
        <v>412</v>
      </c>
      <c r="F194" s="262" t="s">
        <v>413</v>
      </c>
      <c r="G194" s="262" t="s">
        <v>227</v>
      </c>
      <c r="H194" s="262" t="s">
        <v>228</v>
      </c>
      <c r="I194" s="262" t="s">
        <v>727</v>
      </c>
      <c r="J194" s="262" t="s">
        <v>11</v>
      </c>
      <c r="K194" s="262" t="s">
        <v>966</v>
      </c>
    </row>
    <row r="195" spans="1:11" s="129" customFormat="1" x14ac:dyDescent="0.25">
      <c r="A195" s="130">
        <v>3</v>
      </c>
      <c r="B195" s="130" t="s">
        <v>755</v>
      </c>
      <c r="C195" s="130">
        <v>3</v>
      </c>
      <c r="D195" s="284">
        <v>30584.040527343699</v>
      </c>
      <c r="E195" s="130" t="s">
        <v>416</v>
      </c>
      <c r="F195" s="130" t="s">
        <v>417</v>
      </c>
      <c r="G195" s="130" t="s">
        <v>27</v>
      </c>
      <c r="H195" s="130" t="s">
        <v>738</v>
      </c>
      <c r="I195" s="130" t="s">
        <v>15</v>
      </c>
      <c r="J195" s="130" t="s">
        <v>11</v>
      </c>
      <c r="K195" s="130" t="s">
        <v>967</v>
      </c>
    </row>
    <row r="196" spans="1:11" s="129" customFormat="1" x14ac:dyDescent="0.25">
      <c r="A196" s="130">
        <v>3</v>
      </c>
      <c r="B196" s="130" t="s">
        <v>755</v>
      </c>
      <c r="C196" s="130">
        <v>3</v>
      </c>
      <c r="D196" s="284">
        <v>19926069.4985351</v>
      </c>
      <c r="E196" s="130" t="s">
        <v>412</v>
      </c>
      <c r="F196" s="130" t="s">
        <v>413</v>
      </c>
      <c r="G196" s="130" t="s">
        <v>227</v>
      </c>
      <c r="H196" s="130" t="s">
        <v>228</v>
      </c>
      <c r="I196" s="130" t="s">
        <v>15</v>
      </c>
      <c r="J196" s="130" t="s">
        <v>11</v>
      </c>
      <c r="K196" s="130" t="s">
        <v>968</v>
      </c>
    </row>
    <row r="197" spans="1:11" s="218" customFormat="1" x14ac:dyDescent="0.25">
      <c r="A197" s="265">
        <v>3</v>
      </c>
      <c r="B197" s="265" t="s">
        <v>755</v>
      </c>
      <c r="C197" s="265">
        <v>3</v>
      </c>
      <c r="D197" s="289">
        <v>229235.31298828099</v>
      </c>
      <c r="E197" s="265" t="s">
        <v>438</v>
      </c>
      <c r="F197" s="265" t="s">
        <v>439</v>
      </c>
      <c r="G197" s="265" t="s">
        <v>9</v>
      </c>
      <c r="H197" s="265" t="s">
        <v>10</v>
      </c>
      <c r="I197" s="265" t="s">
        <v>728</v>
      </c>
      <c r="J197" s="265" t="s">
        <v>11</v>
      </c>
      <c r="K197" s="265" t="s">
        <v>969</v>
      </c>
    </row>
    <row r="198" spans="1:11" s="218" customFormat="1" x14ac:dyDescent="0.25">
      <c r="A198" s="265">
        <v>3</v>
      </c>
      <c r="B198" s="265" t="s">
        <v>755</v>
      </c>
      <c r="C198" s="265">
        <v>3</v>
      </c>
      <c r="D198" s="289">
        <v>568972.01855468703</v>
      </c>
      <c r="E198" s="265" t="s">
        <v>114</v>
      </c>
      <c r="F198" s="265" t="s">
        <v>115</v>
      </c>
      <c r="G198" s="265" t="s">
        <v>46</v>
      </c>
      <c r="H198" s="265" t="s">
        <v>739</v>
      </c>
      <c r="I198" s="265" t="s">
        <v>728</v>
      </c>
      <c r="J198" s="265" t="s">
        <v>11</v>
      </c>
      <c r="K198" s="265" t="s">
        <v>970</v>
      </c>
    </row>
    <row r="199" spans="1:11" s="218" customFormat="1" x14ac:dyDescent="0.25">
      <c r="A199" s="265">
        <v>3</v>
      </c>
      <c r="B199" s="265" t="s">
        <v>755</v>
      </c>
      <c r="C199" s="265">
        <v>3</v>
      </c>
      <c r="D199" s="289">
        <v>1029135.96044921</v>
      </c>
      <c r="E199" s="265" t="s">
        <v>412</v>
      </c>
      <c r="F199" s="265" t="s">
        <v>413</v>
      </c>
      <c r="G199" s="265" t="s">
        <v>227</v>
      </c>
      <c r="H199" s="265" t="s">
        <v>228</v>
      </c>
      <c r="I199" s="265" t="s">
        <v>728</v>
      </c>
      <c r="J199" s="265" t="s">
        <v>11</v>
      </c>
      <c r="K199" s="265" t="s">
        <v>971</v>
      </c>
    </row>
    <row r="200" spans="1:11" s="28" customFormat="1" x14ac:dyDescent="0.25">
      <c r="A200" s="86">
        <v>3</v>
      </c>
      <c r="B200" s="86" t="s">
        <v>755</v>
      </c>
      <c r="C200" s="86">
        <v>3</v>
      </c>
      <c r="D200" s="290">
        <v>2689935.4316406199</v>
      </c>
      <c r="E200" s="86" t="s">
        <v>464</v>
      </c>
      <c r="F200" s="86" t="s">
        <v>465</v>
      </c>
      <c r="G200" s="86" t="s">
        <v>27</v>
      </c>
      <c r="H200" s="86" t="s">
        <v>738</v>
      </c>
      <c r="I200" s="86" t="s">
        <v>726</v>
      </c>
      <c r="J200" s="86" t="s">
        <v>35</v>
      </c>
      <c r="K200" s="86" t="s">
        <v>972</v>
      </c>
    </row>
    <row r="201" spans="1:11" s="129" customFormat="1" x14ac:dyDescent="0.25">
      <c r="A201" s="130">
        <v>3</v>
      </c>
      <c r="B201" s="130" t="s">
        <v>755</v>
      </c>
      <c r="C201" s="130">
        <v>3</v>
      </c>
      <c r="D201" s="284">
        <v>3382603.16699218</v>
      </c>
      <c r="E201" s="130" t="s">
        <v>249</v>
      </c>
      <c r="F201" s="130" t="s">
        <v>250</v>
      </c>
      <c r="G201" s="130" t="s">
        <v>46</v>
      </c>
      <c r="H201" s="130" t="s">
        <v>739</v>
      </c>
      <c r="I201" s="130" t="s">
        <v>15</v>
      </c>
      <c r="J201" s="130" t="s">
        <v>11</v>
      </c>
      <c r="K201" s="130" t="s">
        <v>973</v>
      </c>
    </row>
    <row r="202" spans="1:11" s="129" customFormat="1" x14ac:dyDescent="0.25">
      <c r="A202" s="130">
        <v>3</v>
      </c>
      <c r="B202" s="130" t="s">
        <v>755</v>
      </c>
      <c r="C202" s="130">
        <v>3</v>
      </c>
      <c r="D202" s="284">
        <v>1248315.13281249</v>
      </c>
      <c r="E202" s="130" t="s">
        <v>438</v>
      </c>
      <c r="F202" s="130" t="s">
        <v>439</v>
      </c>
      <c r="G202" s="130" t="s">
        <v>9</v>
      </c>
      <c r="H202" s="130" t="s">
        <v>10</v>
      </c>
      <c r="I202" s="130" t="s">
        <v>15</v>
      </c>
      <c r="J202" s="130" t="s">
        <v>11</v>
      </c>
      <c r="K202" s="130" t="s">
        <v>974</v>
      </c>
    </row>
    <row r="203" spans="1:11" s="129" customFormat="1" x14ac:dyDescent="0.25">
      <c r="A203" s="130">
        <v>3</v>
      </c>
      <c r="B203" s="130" t="s">
        <v>755</v>
      </c>
      <c r="C203" s="130">
        <v>3</v>
      </c>
      <c r="D203" s="284">
        <v>175.537109375</v>
      </c>
      <c r="E203" s="130" t="s">
        <v>486</v>
      </c>
      <c r="F203" s="130" t="s">
        <v>487</v>
      </c>
      <c r="G203" s="130" t="s">
        <v>80</v>
      </c>
      <c r="H203" s="130" t="s">
        <v>733</v>
      </c>
      <c r="I203" s="130" t="s">
        <v>15</v>
      </c>
      <c r="J203" s="130" t="s">
        <v>11</v>
      </c>
      <c r="K203" s="130" t="s">
        <v>895</v>
      </c>
    </row>
    <row r="204" spans="1:11" s="129" customFormat="1" x14ac:dyDescent="0.25">
      <c r="A204" s="130">
        <v>3</v>
      </c>
      <c r="B204" s="130" t="s">
        <v>755</v>
      </c>
      <c r="C204" s="130">
        <v>3</v>
      </c>
      <c r="D204" s="284">
        <v>1712964.3930664</v>
      </c>
      <c r="E204" s="130" t="s">
        <v>494</v>
      </c>
      <c r="F204" s="130" t="s">
        <v>495</v>
      </c>
      <c r="G204" s="130" t="s">
        <v>46</v>
      </c>
      <c r="H204" s="130" t="s">
        <v>739</v>
      </c>
      <c r="I204" s="130" t="s">
        <v>15</v>
      </c>
      <c r="J204" s="130" t="s">
        <v>11</v>
      </c>
      <c r="K204" s="130" t="s">
        <v>975</v>
      </c>
    </row>
    <row r="205" spans="1:11" s="218" customFormat="1" x14ac:dyDescent="0.25">
      <c r="A205" s="265">
        <v>3</v>
      </c>
      <c r="B205" s="265" t="s">
        <v>755</v>
      </c>
      <c r="C205" s="265">
        <v>3</v>
      </c>
      <c r="D205" s="289">
        <v>571355.810546875</v>
      </c>
      <c r="E205" s="265" t="s">
        <v>381</v>
      </c>
      <c r="F205" s="265" t="s">
        <v>382</v>
      </c>
      <c r="G205" s="265" t="s">
        <v>27</v>
      </c>
      <c r="H205" s="265" t="s">
        <v>738</v>
      </c>
      <c r="I205" s="265" t="s">
        <v>728</v>
      </c>
      <c r="J205" s="265" t="s">
        <v>11</v>
      </c>
      <c r="K205" s="265" t="s">
        <v>976</v>
      </c>
    </row>
    <row r="206" spans="1:11" s="264" customFormat="1" x14ac:dyDescent="0.25">
      <c r="A206" s="262">
        <v>3</v>
      </c>
      <c r="B206" s="262" t="s">
        <v>755</v>
      </c>
      <c r="C206" s="262">
        <v>3</v>
      </c>
      <c r="D206" s="285">
        <v>121982.02050781201</v>
      </c>
      <c r="E206" s="262" t="s">
        <v>498</v>
      </c>
      <c r="F206" s="262" t="s">
        <v>499</v>
      </c>
      <c r="G206" s="262" t="s">
        <v>33</v>
      </c>
      <c r="H206" s="262" t="s">
        <v>34</v>
      </c>
      <c r="I206" s="262" t="s">
        <v>727</v>
      </c>
      <c r="J206" s="262" t="s">
        <v>11</v>
      </c>
      <c r="K206" s="262" t="s">
        <v>918</v>
      </c>
    </row>
    <row r="207" spans="1:11" s="264" customFormat="1" x14ac:dyDescent="0.25">
      <c r="A207" s="262">
        <v>3</v>
      </c>
      <c r="B207" s="262" t="s">
        <v>755</v>
      </c>
      <c r="C207" s="262">
        <v>3</v>
      </c>
      <c r="D207" s="285">
        <v>44.75048828125</v>
      </c>
      <c r="E207" s="262" t="s">
        <v>7</v>
      </c>
      <c r="F207" s="262" t="s">
        <v>8</v>
      </c>
      <c r="G207" s="262" t="s">
        <v>9</v>
      </c>
      <c r="H207" s="262" t="s">
        <v>10</v>
      </c>
      <c r="I207" s="262" t="s">
        <v>727</v>
      </c>
      <c r="J207" s="262" t="s">
        <v>11</v>
      </c>
      <c r="K207" s="262" t="s">
        <v>1085</v>
      </c>
    </row>
    <row r="208" spans="1:11" s="28" customFormat="1" x14ac:dyDescent="0.25">
      <c r="A208" s="86">
        <v>3</v>
      </c>
      <c r="B208" s="86" t="s">
        <v>755</v>
      </c>
      <c r="C208" s="86">
        <v>3</v>
      </c>
      <c r="D208" s="290">
        <v>2471730.1430664002</v>
      </c>
      <c r="E208" s="86" t="s">
        <v>505</v>
      </c>
      <c r="F208" s="86" t="s">
        <v>506</v>
      </c>
      <c r="G208" s="86" t="s">
        <v>27</v>
      </c>
      <c r="H208" s="86" t="s">
        <v>738</v>
      </c>
      <c r="I208" s="86" t="s">
        <v>726</v>
      </c>
      <c r="J208" s="86" t="s">
        <v>35</v>
      </c>
      <c r="K208" s="86" t="s">
        <v>977</v>
      </c>
    </row>
    <row r="209" spans="1:11" s="129" customFormat="1" x14ac:dyDescent="0.25">
      <c r="A209" s="130">
        <v>3</v>
      </c>
      <c r="B209" s="130" t="s">
        <v>755</v>
      </c>
      <c r="C209" s="130">
        <v>3</v>
      </c>
      <c r="D209" s="284">
        <v>616397.83105468703</v>
      </c>
      <c r="E209" s="130" t="s">
        <v>511</v>
      </c>
      <c r="F209" s="130" t="s">
        <v>512</v>
      </c>
      <c r="G209" s="130" t="s">
        <v>27</v>
      </c>
      <c r="H209" s="130" t="s">
        <v>738</v>
      </c>
      <c r="I209" s="130" t="s">
        <v>15</v>
      </c>
      <c r="J209" s="130" t="s">
        <v>11</v>
      </c>
      <c r="K209" s="130" t="s">
        <v>978</v>
      </c>
    </row>
    <row r="210" spans="1:11" s="218" customFormat="1" x14ac:dyDescent="0.25">
      <c r="A210" s="265">
        <v>3</v>
      </c>
      <c r="B210" s="265" t="s">
        <v>755</v>
      </c>
      <c r="C210" s="265">
        <v>3</v>
      </c>
      <c r="D210" s="289">
        <v>338602.68505859299</v>
      </c>
      <c r="E210" s="265" t="s">
        <v>515</v>
      </c>
      <c r="F210" s="265" t="s">
        <v>516</v>
      </c>
      <c r="G210" s="265" t="s">
        <v>27</v>
      </c>
      <c r="H210" s="265" t="s">
        <v>738</v>
      </c>
      <c r="I210" s="265" t="s">
        <v>728</v>
      </c>
      <c r="J210" s="265" t="s">
        <v>11</v>
      </c>
      <c r="K210" s="265" t="s">
        <v>979</v>
      </c>
    </row>
    <row r="211" spans="1:11" s="129" customFormat="1" x14ac:dyDescent="0.25">
      <c r="A211" s="130">
        <v>3</v>
      </c>
      <c r="B211" s="130" t="s">
        <v>755</v>
      </c>
      <c r="C211" s="130">
        <v>3</v>
      </c>
      <c r="D211" s="284">
        <v>24706248.940917902</v>
      </c>
      <c r="E211" s="130" t="s">
        <v>225</v>
      </c>
      <c r="F211" s="130" t="s">
        <v>226</v>
      </c>
      <c r="G211" s="130" t="s">
        <v>227</v>
      </c>
      <c r="H211" s="130" t="s">
        <v>228</v>
      </c>
      <c r="I211" s="130" t="s">
        <v>15</v>
      </c>
      <c r="J211" s="130" t="s">
        <v>11</v>
      </c>
      <c r="K211" s="130" t="s">
        <v>980</v>
      </c>
    </row>
    <row r="212" spans="1:11" s="28" customFormat="1" x14ac:dyDescent="0.25">
      <c r="A212" s="86">
        <v>3</v>
      </c>
      <c r="B212" s="86" t="s">
        <v>755</v>
      </c>
      <c r="C212" s="86">
        <v>3</v>
      </c>
      <c r="D212" s="290">
        <v>1131697.8837890599</v>
      </c>
      <c r="E212" s="86" t="s">
        <v>521</v>
      </c>
      <c r="F212" s="86" t="s">
        <v>522</v>
      </c>
      <c r="G212" s="86" t="s">
        <v>27</v>
      </c>
      <c r="H212" s="86" t="s">
        <v>738</v>
      </c>
      <c r="I212" s="86" t="s">
        <v>726</v>
      </c>
      <c r="J212" s="86" t="s">
        <v>35</v>
      </c>
      <c r="K212" s="86" t="s">
        <v>981</v>
      </c>
    </row>
    <row r="213" spans="1:11" s="264" customFormat="1" x14ac:dyDescent="0.25">
      <c r="A213" s="262">
        <v>3</v>
      </c>
      <c r="B213" s="262" t="s">
        <v>755</v>
      </c>
      <c r="C213" s="262">
        <v>3</v>
      </c>
      <c r="D213" s="285">
        <v>5224.37890625</v>
      </c>
      <c r="E213" s="262" t="s">
        <v>523</v>
      </c>
      <c r="F213" s="262" t="s">
        <v>524</v>
      </c>
      <c r="G213" s="262" t="s">
        <v>46</v>
      </c>
      <c r="H213" s="262" t="s">
        <v>739</v>
      </c>
      <c r="I213" s="262" t="s">
        <v>727</v>
      </c>
      <c r="J213" s="262" t="s">
        <v>11</v>
      </c>
      <c r="K213" s="262" t="s">
        <v>982</v>
      </c>
    </row>
    <row r="214" spans="1:11" s="218" customFormat="1" x14ac:dyDescent="0.25">
      <c r="A214" s="265">
        <v>3</v>
      </c>
      <c r="B214" s="265" t="s">
        <v>755</v>
      </c>
      <c r="C214" s="265">
        <v>3</v>
      </c>
      <c r="D214" s="289">
        <v>161530.09423828099</v>
      </c>
      <c r="E214" s="265" t="s">
        <v>277</v>
      </c>
      <c r="F214" s="265" t="s">
        <v>278</v>
      </c>
      <c r="G214" s="265" t="s">
        <v>46</v>
      </c>
      <c r="H214" s="265" t="s">
        <v>739</v>
      </c>
      <c r="I214" s="265" t="s">
        <v>728</v>
      </c>
      <c r="J214" s="265" t="s">
        <v>11</v>
      </c>
      <c r="K214" s="265" t="s">
        <v>898</v>
      </c>
    </row>
    <row r="215" spans="1:11" s="264" customFormat="1" x14ac:dyDescent="0.25">
      <c r="A215" s="262">
        <v>3</v>
      </c>
      <c r="B215" s="262" t="s">
        <v>755</v>
      </c>
      <c r="C215" s="262">
        <v>3</v>
      </c>
      <c r="D215" s="285">
        <v>1206.80517578125</v>
      </c>
      <c r="E215" s="262" t="s">
        <v>243</v>
      </c>
      <c r="F215" s="262" t="s">
        <v>244</v>
      </c>
      <c r="G215" s="262" t="s">
        <v>46</v>
      </c>
      <c r="H215" s="262" t="s">
        <v>739</v>
      </c>
      <c r="I215" s="262" t="s">
        <v>727</v>
      </c>
      <c r="J215" s="262" t="s">
        <v>11</v>
      </c>
      <c r="K215" s="262" t="s">
        <v>983</v>
      </c>
    </row>
    <row r="216" spans="1:11" s="264" customFormat="1" x14ac:dyDescent="0.25">
      <c r="A216" s="262">
        <v>3</v>
      </c>
      <c r="B216" s="262" t="s">
        <v>755</v>
      </c>
      <c r="C216" s="262">
        <v>3</v>
      </c>
      <c r="D216" s="285">
        <v>21561.539550781199</v>
      </c>
      <c r="E216" s="262" t="s">
        <v>515</v>
      </c>
      <c r="F216" s="262" t="s">
        <v>516</v>
      </c>
      <c r="G216" s="262" t="s">
        <v>27</v>
      </c>
      <c r="H216" s="262" t="s">
        <v>738</v>
      </c>
      <c r="I216" s="262" t="s">
        <v>727</v>
      </c>
      <c r="J216" s="262" t="s">
        <v>11</v>
      </c>
      <c r="K216" s="262" t="s">
        <v>984</v>
      </c>
    </row>
    <row r="217" spans="1:11" s="218" customFormat="1" x14ac:dyDescent="0.25">
      <c r="A217" s="265">
        <v>3</v>
      </c>
      <c r="B217" s="265" t="s">
        <v>755</v>
      </c>
      <c r="C217" s="265">
        <v>3</v>
      </c>
      <c r="D217" s="289">
        <v>90458.6376953125</v>
      </c>
      <c r="E217" s="265" t="s">
        <v>44</v>
      </c>
      <c r="F217" s="265" t="s">
        <v>45</v>
      </c>
      <c r="G217" s="265" t="s">
        <v>46</v>
      </c>
      <c r="H217" s="265" t="s">
        <v>739</v>
      </c>
      <c r="I217" s="265" t="s">
        <v>728</v>
      </c>
      <c r="J217" s="265" t="s">
        <v>11</v>
      </c>
      <c r="K217" s="265" t="s">
        <v>985</v>
      </c>
    </row>
    <row r="218" spans="1:11" s="129" customFormat="1" x14ac:dyDescent="0.25">
      <c r="A218" s="130">
        <v>3</v>
      </c>
      <c r="B218" s="130" t="s">
        <v>755</v>
      </c>
      <c r="C218" s="130">
        <v>3</v>
      </c>
      <c r="D218" s="284">
        <v>6865668.29199218</v>
      </c>
      <c r="E218" s="130" t="s">
        <v>343</v>
      </c>
      <c r="F218" s="130" t="s">
        <v>344</v>
      </c>
      <c r="G218" s="130" t="s">
        <v>227</v>
      </c>
      <c r="H218" s="130" t="s">
        <v>228</v>
      </c>
      <c r="I218" s="130" t="s">
        <v>15</v>
      </c>
      <c r="J218" s="130" t="s">
        <v>11</v>
      </c>
      <c r="K218" s="130" t="s">
        <v>986</v>
      </c>
    </row>
    <row r="219" spans="1:11" s="129" customFormat="1" x14ac:dyDescent="0.25">
      <c r="A219" s="130">
        <v>3</v>
      </c>
      <c r="B219" s="130" t="s">
        <v>755</v>
      </c>
      <c r="C219" s="130">
        <v>3</v>
      </c>
      <c r="D219" s="284">
        <v>539770.345703125</v>
      </c>
      <c r="E219" s="130" t="s">
        <v>233</v>
      </c>
      <c r="F219" s="130" t="s">
        <v>234</v>
      </c>
      <c r="G219" s="130" t="s">
        <v>80</v>
      </c>
      <c r="H219" s="130" t="s">
        <v>733</v>
      </c>
      <c r="I219" s="130" t="s">
        <v>15</v>
      </c>
      <c r="J219" s="130" t="s">
        <v>11</v>
      </c>
      <c r="K219" s="130" t="s">
        <v>987</v>
      </c>
    </row>
    <row r="220" spans="1:11" s="28" customFormat="1" x14ac:dyDescent="0.25">
      <c r="A220" s="86">
        <v>3</v>
      </c>
      <c r="B220" s="86" t="s">
        <v>755</v>
      </c>
      <c r="C220" s="86">
        <v>3</v>
      </c>
      <c r="D220" s="290">
        <v>2684479.4462890602</v>
      </c>
      <c r="E220" s="86" t="s">
        <v>545</v>
      </c>
      <c r="F220" s="86" t="s">
        <v>546</v>
      </c>
      <c r="G220" s="86" t="s">
        <v>27</v>
      </c>
      <c r="H220" s="86" t="s">
        <v>738</v>
      </c>
      <c r="I220" s="86" t="s">
        <v>726</v>
      </c>
      <c r="J220" s="86" t="s">
        <v>35</v>
      </c>
      <c r="K220" s="86" t="s">
        <v>988</v>
      </c>
    </row>
    <row r="221" spans="1:11" s="218" customFormat="1" x14ac:dyDescent="0.25">
      <c r="A221" s="265">
        <v>3</v>
      </c>
      <c r="B221" s="265" t="s">
        <v>755</v>
      </c>
      <c r="C221" s="265">
        <v>3</v>
      </c>
      <c r="D221" s="289">
        <v>199.587890625</v>
      </c>
      <c r="E221" s="265" t="s">
        <v>557</v>
      </c>
      <c r="F221" s="265" t="s">
        <v>558</v>
      </c>
      <c r="G221" s="265" t="s">
        <v>27</v>
      </c>
      <c r="H221" s="265" t="s">
        <v>738</v>
      </c>
      <c r="I221" s="265" t="s">
        <v>728</v>
      </c>
      <c r="J221" s="265" t="s">
        <v>11</v>
      </c>
      <c r="K221" s="265" t="s">
        <v>989</v>
      </c>
    </row>
    <row r="222" spans="1:11" s="28" customFormat="1" x14ac:dyDescent="0.25">
      <c r="A222" s="86">
        <v>3</v>
      </c>
      <c r="B222" s="86" t="s">
        <v>755</v>
      </c>
      <c r="C222" s="86">
        <v>3</v>
      </c>
      <c r="D222" s="290">
        <v>834104.48779296805</v>
      </c>
      <c r="E222" s="86" t="s">
        <v>559</v>
      </c>
      <c r="F222" s="86" t="s">
        <v>560</v>
      </c>
      <c r="G222" s="86" t="s">
        <v>27</v>
      </c>
      <c r="H222" s="86" t="s">
        <v>738</v>
      </c>
      <c r="I222" s="86" t="s">
        <v>726</v>
      </c>
      <c r="J222" s="86" t="s">
        <v>35</v>
      </c>
      <c r="K222" s="86" t="s">
        <v>990</v>
      </c>
    </row>
    <row r="223" spans="1:11" s="129" customFormat="1" x14ac:dyDescent="0.25">
      <c r="A223" s="130">
        <v>3</v>
      </c>
      <c r="B223" s="130" t="s">
        <v>755</v>
      </c>
      <c r="C223" s="130">
        <v>3</v>
      </c>
      <c r="D223" s="284">
        <v>1763283.9736328099</v>
      </c>
      <c r="E223" s="130" t="s">
        <v>25</v>
      </c>
      <c r="F223" s="130" t="s">
        <v>26</v>
      </c>
      <c r="G223" s="130" t="s">
        <v>27</v>
      </c>
      <c r="H223" s="130" t="s">
        <v>738</v>
      </c>
      <c r="I223" s="130" t="s">
        <v>15</v>
      </c>
      <c r="J223" s="130" t="s">
        <v>11</v>
      </c>
      <c r="K223" s="130" t="s">
        <v>991</v>
      </c>
    </row>
    <row r="224" spans="1:11" s="129" customFormat="1" x14ac:dyDescent="0.25">
      <c r="A224" s="130">
        <v>3</v>
      </c>
      <c r="B224" s="130" t="s">
        <v>755</v>
      </c>
      <c r="C224" s="130">
        <v>3</v>
      </c>
      <c r="D224" s="284">
        <v>1205007.6962890599</v>
      </c>
      <c r="E224" s="130" t="s">
        <v>515</v>
      </c>
      <c r="F224" s="130" t="s">
        <v>516</v>
      </c>
      <c r="G224" s="130" t="s">
        <v>27</v>
      </c>
      <c r="H224" s="130" t="s">
        <v>738</v>
      </c>
      <c r="I224" s="130" t="s">
        <v>15</v>
      </c>
      <c r="J224" s="130" t="s">
        <v>11</v>
      </c>
      <c r="K224" s="130" t="s">
        <v>992</v>
      </c>
    </row>
    <row r="225" spans="1:11" s="264" customFormat="1" x14ac:dyDescent="0.25">
      <c r="A225" s="262">
        <v>3</v>
      </c>
      <c r="B225" s="262" t="s">
        <v>755</v>
      </c>
      <c r="C225" s="262">
        <v>3</v>
      </c>
      <c r="D225" s="285">
        <v>169457.06347656201</v>
      </c>
      <c r="E225" s="262" t="s">
        <v>245</v>
      </c>
      <c r="F225" s="262" t="s">
        <v>246</v>
      </c>
      <c r="G225" s="262" t="s">
        <v>9</v>
      </c>
      <c r="H225" s="262" t="s">
        <v>10</v>
      </c>
      <c r="I225" s="262" t="s">
        <v>727</v>
      </c>
      <c r="J225" s="262" t="s">
        <v>11</v>
      </c>
      <c r="K225" s="262" t="s">
        <v>993</v>
      </c>
    </row>
    <row r="226" spans="1:11" s="28" customFormat="1" x14ac:dyDescent="0.25">
      <c r="A226" s="86">
        <v>3</v>
      </c>
      <c r="B226" s="86" t="s">
        <v>755</v>
      </c>
      <c r="C226" s="86">
        <v>3</v>
      </c>
      <c r="D226" s="290">
        <v>79343.2607421875</v>
      </c>
      <c r="E226" s="86" t="s">
        <v>533</v>
      </c>
      <c r="F226" s="86" t="s">
        <v>534</v>
      </c>
      <c r="G226" s="86" t="s">
        <v>411</v>
      </c>
      <c r="H226" s="86" t="s">
        <v>1124</v>
      </c>
      <c r="I226" s="86" t="s">
        <v>726</v>
      </c>
      <c r="J226" s="86" t="s">
        <v>35</v>
      </c>
      <c r="K226" s="86" t="s">
        <v>994</v>
      </c>
    </row>
    <row r="227" spans="1:11" s="218" customFormat="1" x14ac:dyDescent="0.25">
      <c r="A227" s="265">
        <v>3</v>
      </c>
      <c r="B227" s="265" t="s">
        <v>755</v>
      </c>
      <c r="C227" s="265">
        <v>3</v>
      </c>
      <c r="D227" s="289">
        <v>3837.3193359375</v>
      </c>
      <c r="E227" s="265" t="s">
        <v>498</v>
      </c>
      <c r="F227" s="265" t="s">
        <v>499</v>
      </c>
      <c r="G227" s="265" t="s">
        <v>33</v>
      </c>
      <c r="H227" s="265" t="s">
        <v>34</v>
      </c>
      <c r="I227" s="265" t="s">
        <v>728</v>
      </c>
      <c r="J227" s="265" t="s">
        <v>11</v>
      </c>
      <c r="K227" s="265" t="s">
        <v>924</v>
      </c>
    </row>
    <row r="228" spans="1:11" s="218" customFormat="1" x14ac:dyDescent="0.25">
      <c r="A228" s="265">
        <v>3</v>
      </c>
      <c r="B228" s="265" t="s">
        <v>755</v>
      </c>
      <c r="C228" s="265">
        <v>3</v>
      </c>
      <c r="D228" s="289">
        <v>934514.80029296805</v>
      </c>
      <c r="E228" s="265" t="s">
        <v>343</v>
      </c>
      <c r="F228" s="265" t="s">
        <v>344</v>
      </c>
      <c r="G228" s="265" t="s">
        <v>227</v>
      </c>
      <c r="H228" s="265" t="s">
        <v>228</v>
      </c>
      <c r="I228" s="265" t="s">
        <v>728</v>
      </c>
      <c r="J228" s="265" t="s">
        <v>11</v>
      </c>
      <c r="K228" s="265" t="s">
        <v>995</v>
      </c>
    </row>
    <row r="229" spans="1:11" s="129" customFormat="1" x14ac:dyDescent="0.25">
      <c r="A229" s="130">
        <v>3</v>
      </c>
      <c r="B229" s="130" t="s">
        <v>755</v>
      </c>
      <c r="C229" s="130">
        <v>3</v>
      </c>
      <c r="D229" s="284">
        <v>100213.14453125</v>
      </c>
      <c r="E229" s="130" t="s">
        <v>498</v>
      </c>
      <c r="F229" s="130" t="s">
        <v>499</v>
      </c>
      <c r="G229" s="130" t="s">
        <v>33</v>
      </c>
      <c r="H229" s="130" t="s">
        <v>34</v>
      </c>
      <c r="I229" s="130" t="s">
        <v>15</v>
      </c>
      <c r="J229" s="130" t="s">
        <v>11</v>
      </c>
      <c r="K229" s="130" t="s">
        <v>926</v>
      </c>
    </row>
    <row r="230" spans="1:11" s="218" customFormat="1" x14ac:dyDescent="0.25">
      <c r="A230" s="265">
        <v>3</v>
      </c>
      <c r="B230" s="265" t="s">
        <v>755</v>
      </c>
      <c r="C230" s="265">
        <v>3</v>
      </c>
      <c r="D230" s="289">
        <v>497324.12744140602</v>
      </c>
      <c r="E230" s="265" t="s">
        <v>249</v>
      </c>
      <c r="F230" s="265" t="s">
        <v>250</v>
      </c>
      <c r="G230" s="265" t="s">
        <v>46</v>
      </c>
      <c r="H230" s="265" t="s">
        <v>739</v>
      </c>
      <c r="I230" s="265" t="s">
        <v>728</v>
      </c>
      <c r="J230" s="265" t="s">
        <v>11</v>
      </c>
      <c r="K230" s="265" t="s">
        <v>996</v>
      </c>
    </row>
    <row r="231" spans="1:11" s="218" customFormat="1" x14ac:dyDescent="0.25">
      <c r="A231" s="265">
        <v>3</v>
      </c>
      <c r="B231" s="265" t="s">
        <v>755</v>
      </c>
      <c r="C231" s="265">
        <v>3</v>
      </c>
      <c r="D231" s="289">
        <v>230877.97167968701</v>
      </c>
      <c r="E231" s="265" t="s">
        <v>494</v>
      </c>
      <c r="F231" s="265" t="s">
        <v>495</v>
      </c>
      <c r="G231" s="265" t="s">
        <v>46</v>
      </c>
      <c r="H231" s="265" t="s">
        <v>739</v>
      </c>
      <c r="I231" s="265" t="s">
        <v>728</v>
      </c>
      <c r="J231" s="265" t="s">
        <v>11</v>
      </c>
      <c r="K231" s="265" t="s">
        <v>997</v>
      </c>
    </row>
    <row r="232" spans="1:11" s="28" customFormat="1" x14ac:dyDescent="0.25">
      <c r="A232" s="86">
        <v>3</v>
      </c>
      <c r="B232" s="86" t="s">
        <v>755</v>
      </c>
      <c r="C232" s="86">
        <v>3</v>
      </c>
      <c r="D232" s="290">
        <v>34311.549316406199</v>
      </c>
      <c r="E232" s="86" t="s">
        <v>409</v>
      </c>
      <c r="F232" s="86" t="s">
        <v>410</v>
      </c>
      <c r="G232" s="86" t="s">
        <v>411</v>
      </c>
      <c r="H232" s="86" t="s">
        <v>1124</v>
      </c>
      <c r="I232" s="86" t="s">
        <v>726</v>
      </c>
      <c r="J232" s="86" t="s">
        <v>35</v>
      </c>
      <c r="K232" s="86" t="s">
        <v>998</v>
      </c>
    </row>
    <row r="233" spans="1:11" s="28" customFormat="1" x14ac:dyDescent="0.25">
      <c r="A233" s="86">
        <v>3</v>
      </c>
      <c r="B233" s="86" t="s">
        <v>755</v>
      </c>
      <c r="C233" s="86">
        <v>3</v>
      </c>
      <c r="D233" s="290">
        <v>39568.8349609375</v>
      </c>
      <c r="E233" s="86" t="s">
        <v>581</v>
      </c>
      <c r="F233" s="86" t="s">
        <v>582</v>
      </c>
      <c r="G233" s="86" t="s">
        <v>30</v>
      </c>
      <c r="H233" s="86" t="s">
        <v>732</v>
      </c>
      <c r="I233" s="86" t="s">
        <v>726</v>
      </c>
      <c r="J233" s="86" t="s">
        <v>35</v>
      </c>
      <c r="K233" s="86" t="s">
        <v>999</v>
      </c>
    </row>
    <row r="234" spans="1:11" s="264" customFormat="1" x14ac:dyDescent="0.25">
      <c r="A234" s="262">
        <v>3</v>
      </c>
      <c r="B234" s="262" t="s">
        <v>755</v>
      </c>
      <c r="C234" s="262">
        <v>3</v>
      </c>
      <c r="D234" s="285">
        <v>42486.533203125</v>
      </c>
      <c r="E234" s="262" t="s">
        <v>438</v>
      </c>
      <c r="F234" s="262" t="s">
        <v>439</v>
      </c>
      <c r="G234" s="262" t="s">
        <v>9</v>
      </c>
      <c r="H234" s="262" t="s">
        <v>10</v>
      </c>
      <c r="I234" s="262" t="s">
        <v>727</v>
      </c>
      <c r="J234" s="262" t="s">
        <v>11</v>
      </c>
      <c r="K234" s="262" t="s">
        <v>1000</v>
      </c>
    </row>
    <row r="235" spans="1:11" s="218" customFormat="1" x14ac:dyDescent="0.25">
      <c r="A235" s="265">
        <v>3</v>
      </c>
      <c r="B235" s="265" t="s">
        <v>755</v>
      </c>
      <c r="C235" s="265">
        <v>3</v>
      </c>
      <c r="D235" s="289">
        <v>1411.4189453125</v>
      </c>
      <c r="E235" s="265" t="s">
        <v>587</v>
      </c>
      <c r="F235" s="265" t="s">
        <v>588</v>
      </c>
      <c r="G235" s="265" t="s">
        <v>27</v>
      </c>
      <c r="H235" s="265" t="s">
        <v>738</v>
      </c>
      <c r="I235" s="265" t="s">
        <v>728</v>
      </c>
      <c r="J235" s="265" t="s">
        <v>11</v>
      </c>
      <c r="K235" s="265" t="s">
        <v>1001</v>
      </c>
    </row>
    <row r="236" spans="1:11" s="218" customFormat="1" x14ac:dyDescent="0.25">
      <c r="A236" s="265">
        <v>3</v>
      </c>
      <c r="B236" s="265" t="s">
        <v>755</v>
      </c>
      <c r="C236" s="265">
        <v>3</v>
      </c>
      <c r="D236" s="289">
        <v>165.8505859375</v>
      </c>
      <c r="E236" s="265" t="s">
        <v>486</v>
      </c>
      <c r="F236" s="265" t="s">
        <v>487</v>
      </c>
      <c r="G236" s="265" t="s">
        <v>80</v>
      </c>
      <c r="H236" s="265" t="s">
        <v>733</v>
      </c>
      <c r="I236" s="265" t="s">
        <v>728</v>
      </c>
      <c r="J236" s="265" t="s">
        <v>11</v>
      </c>
      <c r="K236" s="265" t="s">
        <v>902</v>
      </c>
    </row>
    <row r="237" spans="1:11" s="129" customFormat="1" x14ac:dyDescent="0.25">
      <c r="A237" s="130">
        <v>3</v>
      </c>
      <c r="B237" s="130" t="s">
        <v>755</v>
      </c>
      <c r="C237" s="130">
        <v>3</v>
      </c>
      <c r="D237" s="284">
        <v>4850645.1660156203</v>
      </c>
      <c r="E237" s="130" t="s">
        <v>245</v>
      </c>
      <c r="F237" s="130" t="s">
        <v>246</v>
      </c>
      <c r="G237" s="130" t="s">
        <v>9</v>
      </c>
      <c r="H237" s="130" t="s">
        <v>10</v>
      </c>
      <c r="I237" s="130" t="s">
        <v>15</v>
      </c>
      <c r="J237" s="130" t="s">
        <v>11</v>
      </c>
      <c r="K237" s="130" t="s">
        <v>1002</v>
      </c>
    </row>
    <row r="238" spans="1:11" s="275" customFormat="1" x14ac:dyDescent="0.25">
      <c r="A238" s="273">
        <v>3</v>
      </c>
      <c r="B238" s="273" t="s">
        <v>755</v>
      </c>
      <c r="C238" s="273">
        <v>3</v>
      </c>
      <c r="D238" s="287">
        <v>175213.52587890599</v>
      </c>
      <c r="E238" s="273" t="s">
        <v>343</v>
      </c>
      <c r="F238" s="273" t="s">
        <v>344</v>
      </c>
      <c r="G238" s="273" t="s">
        <v>227</v>
      </c>
      <c r="H238" s="273" t="s">
        <v>228</v>
      </c>
      <c r="I238" s="273" t="s">
        <v>730</v>
      </c>
      <c r="J238" s="273" t="s">
        <v>11</v>
      </c>
      <c r="K238" s="273" t="s">
        <v>1003</v>
      </c>
    </row>
    <row r="239" spans="1:11" s="129" customFormat="1" x14ac:dyDescent="0.25">
      <c r="A239" s="130">
        <v>3</v>
      </c>
      <c r="B239" s="130" t="s">
        <v>755</v>
      </c>
      <c r="C239" s="130">
        <v>3</v>
      </c>
      <c r="D239" s="284">
        <v>6.8046875</v>
      </c>
      <c r="E239" s="130" t="s">
        <v>587</v>
      </c>
      <c r="F239" s="130" t="s">
        <v>588</v>
      </c>
      <c r="G239" s="130" t="s">
        <v>27</v>
      </c>
      <c r="H239" s="130" t="s">
        <v>738</v>
      </c>
      <c r="I239" s="130" t="s">
        <v>15</v>
      </c>
      <c r="J239" s="130" t="s">
        <v>11</v>
      </c>
      <c r="K239" s="130" t="s">
        <v>1004</v>
      </c>
    </row>
    <row r="240" spans="1:11" s="28" customFormat="1" x14ac:dyDescent="0.25">
      <c r="A240" s="86">
        <v>3</v>
      </c>
      <c r="B240" s="86" t="s">
        <v>755</v>
      </c>
      <c r="C240" s="86">
        <v>3</v>
      </c>
      <c r="D240" s="290">
        <v>3225892.1137695299</v>
      </c>
      <c r="E240" s="86" t="s">
        <v>591</v>
      </c>
      <c r="F240" s="86" t="s">
        <v>592</v>
      </c>
      <c r="G240" s="86" t="s">
        <v>27</v>
      </c>
      <c r="H240" s="86" t="s">
        <v>738</v>
      </c>
      <c r="I240" s="86" t="s">
        <v>726</v>
      </c>
      <c r="J240" s="86" t="s">
        <v>35</v>
      </c>
      <c r="K240" s="86" t="s">
        <v>1005</v>
      </c>
    </row>
    <row r="241" spans="1:11" s="129" customFormat="1" x14ac:dyDescent="0.25">
      <c r="A241" s="130">
        <v>3</v>
      </c>
      <c r="B241" s="130" t="s">
        <v>755</v>
      </c>
      <c r="C241" s="130">
        <v>3</v>
      </c>
      <c r="D241" s="284">
        <v>478530.29541015602</v>
      </c>
      <c r="E241" s="130" t="s">
        <v>603</v>
      </c>
      <c r="F241" s="130" t="s">
        <v>604</v>
      </c>
      <c r="G241" s="130" t="s">
        <v>46</v>
      </c>
      <c r="H241" s="130" t="s">
        <v>739</v>
      </c>
      <c r="I241" s="130" t="s">
        <v>15</v>
      </c>
      <c r="J241" s="130" t="s">
        <v>11</v>
      </c>
      <c r="K241" s="130" t="s">
        <v>1006</v>
      </c>
    </row>
    <row r="242" spans="1:11" s="28" customFormat="1" x14ac:dyDescent="0.25">
      <c r="A242" s="86">
        <v>3</v>
      </c>
      <c r="B242" s="86" t="s">
        <v>755</v>
      </c>
      <c r="C242" s="86">
        <v>3</v>
      </c>
      <c r="D242" s="290">
        <v>596099.24902343703</v>
      </c>
      <c r="E242" s="86" t="s">
        <v>605</v>
      </c>
      <c r="F242" s="86" t="s">
        <v>606</v>
      </c>
      <c r="G242" s="86" t="s">
        <v>46</v>
      </c>
      <c r="H242" s="86" t="s">
        <v>739</v>
      </c>
      <c r="I242" s="86" t="s">
        <v>726</v>
      </c>
      <c r="J242" s="86" t="s">
        <v>35</v>
      </c>
      <c r="K242" s="86" t="s">
        <v>1007</v>
      </c>
    </row>
    <row r="243" spans="1:11" s="28" customFormat="1" x14ac:dyDescent="0.25">
      <c r="A243" s="86">
        <v>3</v>
      </c>
      <c r="B243" s="86" t="s">
        <v>755</v>
      </c>
      <c r="C243" s="86">
        <v>3</v>
      </c>
      <c r="D243" s="290">
        <v>779329.36181640602</v>
      </c>
      <c r="E243" s="86" t="s">
        <v>607</v>
      </c>
      <c r="F243" s="86" t="s">
        <v>608</v>
      </c>
      <c r="G243" s="86" t="s">
        <v>27</v>
      </c>
      <c r="H243" s="86" t="s">
        <v>738</v>
      </c>
      <c r="I243" s="86" t="s">
        <v>726</v>
      </c>
      <c r="J243" s="86" t="s">
        <v>35</v>
      </c>
      <c r="K243" s="86" t="s">
        <v>1008</v>
      </c>
    </row>
    <row r="244" spans="1:11" s="264" customFormat="1" x14ac:dyDescent="0.25">
      <c r="A244" s="262">
        <v>3</v>
      </c>
      <c r="B244" s="262" t="s">
        <v>755</v>
      </c>
      <c r="C244" s="262">
        <v>3</v>
      </c>
      <c r="D244" s="285">
        <v>3809.958984375</v>
      </c>
      <c r="E244" s="262" t="s">
        <v>511</v>
      </c>
      <c r="F244" s="262" t="s">
        <v>512</v>
      </c>
      <c r="G244" s="262" t="s">
        <v>27</v>
      </c>
      <c r="H244" s="262" t="s">
        <v>738</v>
      </c>
      <c r="I244" s="262" t="s">
        <v>727</v>
      </c>
      <c r="J244" s="262" t="s">
        <v>11</v>
      </c>
      <c r="K244" s="262" t="s">
        <v>1009</v>
      </c>
    </row>
    <row r="245" spans="1:11" s="129" customFormat="1" x14ac:dyDescent="0.25">
      <c r="A245" s="130">
        <v>3</v>
      </c>
      <c r="B245" s="130" t="s">
        <v>755</v>
      </c>
      <c r="C245" s="130">
        <v>3</v>
      </c>
      <c r="D245" s="284">
        <v>18975327.089355402</v>
      </c>
      <c r="E245" s="130" t="s">
        <v>207</v>
      </c>
      <c r="F245" s="130" t="s">
        <v>208</v>
      </c>
      <c r="G245" s="130" t="s">
        <v>33</v>
      </c>
      <c r="H245" s="130" t="s">
        <v>34</v>
      </c>
      <c r="I245" s="130" t="s">
        <v>15</v>
      </c>
      <c r="J245" s="130" t="s">
        <v>11</v>
      </c>
      <c r="K245" s="130" t="s">
        <v>1010</v>
      </c>
    </row>
    <row r="246" spans="1:11" s="28" customFormat="1" x14ac:dyDescent="0.25">
      <c r="A246" s="86">
        <v>3</v>
      </c>
      <c r="B246" s="86" t="s">
        <v>755</v>
      </c>
      <c r="C246" s="86">
        <v>3</v>
      </c>
      <c r="D246" s="290">
        <v>446279.49462890602</v>
      </c>
      <c r="E246" s="86" t="s">
        <v>627</v>
      </c>
      <c r="F246" s="86" t="s">
        <v>628</v>
      </c>
      <c r="G246" s="86" t="s">
        <v>46</v>
      </c>
      <c r="H246" s="86" t="s">
        <v>739</v>
      </c>
      <c r="I246" s="86" t="s">
        <v>726</v>
      </c>
      <c r="J246" s="86" t="s">
        <v>35</v>
      </c>
      <c r="K246" s="86" t="s">
        <v>1011</v>
      </c>
    </row>
    <row r="247" spans="1:11" s="264" customFormat="1" x14ac:dyDescent="0.25">
      <c r="A247" s="262">
        <v>3</v>
      </c>
      <c r="B247" s="262" t="s">
        <v>755</v>
      </c>
      <c r="C247" s="262">
        <v>3</v>
      </c>
      <c r="D247" s="285">
        <v>4994.62451171875</v>
      </c>
      <c r="E247" s="262" t="s">
        <v>629</v>
      </c>
      <c r="F247" s="262" t="s">
        <v>630</v>
      </c>
      <c r="G247" s="262" t="s">
        <v>46</v>
      </c>
      <c r="H247" s="262" t="s">
        <v>739</v>
      </c>
      <c r="I247" s="262" t="s">
        <v>727</v>
      </c>
      <c r="J247" s="262" t="s">
        <v>11</v>
      </c>
      <c r="K247" s="262" t="s">
        <v>1012</v>
      </c>
    </row>
    <row r="248" spans="1:11" s="218" customFormat="1" x14ac:dyDescent="0.25">
      <c r="A248" s="265">
        <v>3</v>
      </c>
      <c r="B248" s="265" t="s">
        <v>755</v>
      </c>
      <c r="C248" s="265">
        <v>3</v>
      </c>
      <c r="D248" s="289">
        <v>132715.990234375</v>
      </c>
      <c r="E248" s="265" t="s">
        <v>629</v>
      </c>
      <c r="F248" s="265" t="s">
        <v>630</v>
      </c>
      <c r="G248" s="265" t="s">
        <v>46</v>
      </c>
      <c r="H248" s="265" t="s">
        <v>739</v>
      </c>
      <c r="I248" s="265" t="s">
        <v>728</v>
      </c>
      <c r="J248" s="265" t="s">
        <v>11</v>
      </c>
      <c r="K248" s="265" t="s">
        <v>1013</v>
      </c>
    </row>
    <row r="249" spans="1:11" s="28" customFormat="1" x14ac:dyDescent="0.25">
      <c r="A249" s="86">
        <v>3</v>
      </c>
      <c r="B249" s="86" t="s">
        <v>755</v>
      </c>
      <c r="C249" s="86">
        <v>3</v>
      </c>
      <c r="D249" s="290">
        <v>444478.26464843698</v>
      </c>
      <c r="E249" s="86" t="s">
        <v>639</v>
      </c>
      <c r="F249" s="86" t="s">
        <v>640</v>
      </c>
      <c r="G249" s="86" t="s">
        <v>27</v>
      </c>
      <c r="H249" s="86" t="s">
        <v>738</v>
      </c>
      <c r="I249" s="86" t="s">
        <v>726</v>
      </c>
      <c r="J249" s="86" t="s">
        <v>35</v>
      </c>
      <c r="K249" s="86" t="s">
        <v>1014</v>
      </c>
    </row>
    <row r="250" spans="1:11" s="218" customFormat="1" x14ac:dyDescent="0.25">
      <c r="A250" s="265">
        <v>3</v>
      </c>
      <c r="B250" s="265" t="s">
        <v>755</v>
      </c>
      <c r="C250" s="265">
        <v>3</v>
      </c>
      <c r="D250" s="289">
        <v>179781.32666015599</v>
      </c>
      <c r="E250" s="265" t="s">
        <v>416</v>
      </c>
      <c r="F250" s="265" t="s">
        <v>417</v>
      </c>
      <c r="G250" s="265" t="s">
        <v>27</v>
      </c>
      <c r="H250" s="265" t="s">
        <v>738</v>
      </c>
      <c r="I250" s="265" t="s">
        <v>728</v>
      </c>
      <c r="J250" s="265" t="s">
        <v>11</v>
      </c>
      <c r="K250" s="265" t="s">
        <v>1015</v>
      </c>
    </row>
    <row r="251" spans="1:11" s="129" customFormat="1" x14ac:dyDescent="0.25">
      <c r="A251" s="130">
        <v>3</v>
      </c>
      <c r="B251" s="130" t="s">
        <v>755</v>
      </c>
      <c r="C251" s="130">
        <v>3</v>
      </c>
      <c r="D251" s="284">
        <v>908806.53466796805</v>
      </c>
      <c r="E251" s="130" t="s">
        <v>523</v>
      </c>
      <c r="F251" s="130" t="s">
        <v>524</v>
      </c>
      <c r="G251" s="130" t="s">
        <v>46</v>
      </c>
      <c r="H251" s="130" t="s">
        <v>739</v>
      </c>
      <c r="I251" s="130" t="s">
        <v>15</v>
      </c>
      <c r="J251" s="130" t="s">
        <v>11</v>
      </c>
      <c r="K251" s="130" t="s">
        <v>1016</v>
      </c>
    </row>
    <row r="252" spans="1:11" s="218" customFormat="1" x14ac:dyDescent="0.25">
      <c r="A252" s="265">
        <v>3</v>
      </c>
      <c r="B252" s="265" t="s">
        <v>755</v>
      </c>
      <c r="C252" s="265">
        <v>3</v>
      </c>
      <c r="D252" s="289">
        <v>53153.02734375</v>
      </c>
      <c r="E252" s="265" t="s">
        <v>659</v>
      </c>
      <c r="F252" s="265" t="s">
        <v>660</v>
      </c>
      <c r="G252" s="265" t="s">
        <v>80</v>
      </c>
      <c r="H252" s="265" t="s">
        <v>733</v>
      </c>
      <c r="I252" s="265" t="s">
        <v>728</v>
      </c>
      <c r="J252" s="265" t="s">
        <v>11</v>
      </c>
      <c r="K252" s="265" t="s">
        <v>904</v>
      </c>
    </row>
    <row r="253" spans="1:11" s="28" customFormat="1" x14ac:dyDescent="0.25">
      <c r="A253" s="86">
        <v>3</v>
      </c>
      <c r="B253" s="86" t="s">
        <v>755</v>
      </c>
      <c r="C253" s="86">
        <v>3</v>
      </c>
      <c r="D253" s="290">
        <v>338001.48583984299</v>
      </c>
      <c r="E253" s="86" t="s">
        <v>665</v>
      </c>
      <c r="F253" s="86" t="s">
        <v>666</v>
      </c>
      <c r="G253" s="86" t="s">
        <v>27</v>
      </c>
      <c r="H253" s="86" t="s">
        <v>738</v>
      </c>
      <c r="I253" s="86" t="s">
        <v>726</v>
      </c>
      <c r="J253" s="86" t="s">
        <v>35</v>
      </c>
      <c r="K253" s="86" t="s">
        <v>1017</v>
      </c>
    </row>
    <row r="254" spans="1:11" s="218" customFormat="1" x14ac:dyDescent="0.25">
      <c r="A254" s="265">
        <v>3</v>
      </c>
      <c r="B254" s="265" t="s">
        <v>755</v>
      </c>
      <c r="C254" s="265">
        <v>3</v>
      </c>
      <c r="D254" s="289">
        <v>30507.809082031199</v>
      </c>
      <c r="E254" s="265" t="s">
        <v>507</v>
      </c>
      <c r="F254" s="265" t="s">
        <v>508</v>
      </c>
      <c r="G254" s="265" t="s">
        <v>80</v>
      </c>
      <c r="H254" s="265" t="s">
        <v>733</v>
      </c>
      <c r="I254" s="265" t="s">
        <v>728</v>
      </c>
      <c r="J254" s="265" t="s">
        <v>11</v>
      </c>
      <c r="K254" s="265" t="s">
        <v>905</v>
      </c>
    </row>
    <row r="255" spans="1:11" s="218" customFormat="1" x14ac:dyDescent="0.25">
      <c r="A255" s="265">
        <v>3</v>
      </c>
      <c r="B255" s="265" t="s">
        <v>755</v>
      </c>
      <c r="C255" s="265">
        <v>3</v>
      </c>
      <c r="D255" s="289">
        <v>375889.806640625</v>
      </c>
      <c r="E255" s="265" t="s">
        <v>247</v>
      </c>
      <c r="F255" s="265" t="s">
        <v>248</v>
      </c>
      <c r="G255" s="265" t="s">
        <v>46</v>
      </c>
      <c r="H255" s="265" t="s">
        <v>739</v>
      </c>
      <c r="I255" s="265" t="s">
        <v>728</v>
      </c>
      <c r="J255" s="265" t="s">
        <v>11</v>
      </c>
      <c r="K255" s="265" t="s">
        <v>1018</v>
      </c>
    </row>
    <row r="256" spans="1:11" s="218" customFormat="1" x14ac:dyDescent="0.25">
      <c r="A256" s="265">
        <v>3</v>
      </c>
      <c r="B256" s="265" t="s">
        <v>755</v>
      </c>
      <c r="C256" s="265">
        <v>3</v>
      </c>
      <c r="D256" s="289">
        <v>447189.92041015602</v>
      </c>
      <c r="E256" s="265" t="s">
        <v>243</v>
      </c>
      <c r="F256" s="265" t="s">
        <v>244</v>
      </c>
      <c r="G256" s="265" t="s">
        <v>46</v>
      </c>
      <c r="H256" s="265" t="s">
        <v>739</v>
      </c>
      <c r="I256" s="265" t="s">
        <v>728</v>
      </c>
      <c r="J256" s="265" t="s">
        <v>11</v>
      </c>
      <c r="K256" s="265" t="s">
        <v>1019</v>
      </c>
    </row>
    <row r="257" spans="1:11" s="28" customFormat="1" x14ac:dyDescent="0.25">
      <c r="A257" s="86">
        <v>3</v>
      </c>
      <c r="B257" s="86" t="s">
        <v>755</v>
      </c>
      <c r="C257" s="86">
        <v>3</v>
      </c>
      <c r="D257" s="290">
        <v>498370.64892578102</v>
      </c>
      <c r="E257" s="86" t="s">
        <v>667</v>
      </c>
      <c r="F257" s="86" t="s">
        <v>668</v>
      </c>
      <c r="G257" s="86" t="s">
        <v>46</v>
      </c>
      <c r="H257" s="86" t="s">
        <v>739</v>
      </c>
      <c r="I257" s="86" t="s">
        <v>726</v>
      </c>
      <c r="J257" s="86" t="s">
        <v>35</v>
      </c>
      <c r="K257" s="86" t="s">
        <v>1020</v>
      </c>
    </row>
    <row r="258" spans="1:11" s="218" customFormat="1" x14ac:dyDescent="0.25">
      <c r="A258" s="265">
        <v>3</v>
      </c>
      <c r="B258" s="265" t="s">
        <v>755</v>
      </c>
      <c r="C258" s="265">
        <v>3</v>
      </c>
      <c r="D258" s="289">
        <v>105624.72949218701</v>
      </c>
      <c r="E258" s="265" t="s">
        <v>297</v>
      </c>
      <c r="F258" s="265" t="s">
        <v>298</v>
      </c>
      <c r="G258" s="265" t="s">
        <v>46</v>
      </c>
      <c r="H258" s="265" t="s">
        <v>739</v>
      </c>
      <c r="I258" s="265" t="s">
        <v>728</v>
      </c>
      <c r="J258" s="265" t="s">
        <v>11</v>
      </c>
      <c r="K258" s="265" t="s">
        <v>1021</v>
      </c>
    </row>
    <row r="259" spans="1:11" s="264" customFormat="1" x14ac:dyDescent="0.25">
      <c r="A259" s="262">
        <v>3</v>
      </c>
      <c r="B259" s="262" t="s">
        <v>755</v>
      </c>
      <c r="C259" s="262">
        <v>3</v>
      </c>
      <c r="D259" s="285">
        <v>38936.638671875</v>
      </c>
      <c r="E259" s="262" t="s">
        <v>247</v>
      </c>
      <c r="F259" s="262" t="s">
        <v>248</v>
      </c>
      <c r="G259" s="262" t="s">
        <v>46</v>
      </c>
      <c r="H259" s="262" t="s">
        <v>739</v>
      </c>
      <c r="I259" s="262" t="s">
        <v>727</v>
      </c>
      <c r="J259" s="262" t="s">
        <v>11</v>
      </c>
      <c r="K259" s="262" t="s">
        <v>1022</v>
      </c>
    </row>
    <row r="260" spans="1:11" s="28" customFormat="1" x14ac:dyDescent="0.25">
      <c r="A260" s="86">
        <v>3</v>
      </c>
      <c r="B260" s="86" t="s">
        <v>755</v>
      </c>
      <c r="C260" s="86">
        <v>3</v>
      </c>
      <c r="D260" s="290">
        <v>32615.7744140625</v>
      </c>
      <c r="E260" s="86" t="s">
        <v>464</v>
      </c>
      <c r="F260" s="86" t="s">
        <v>465</v>
      </c>
      <c r="G260" s="86" t="s">
        <v>27</v>
      </c>
      <c r="H260" s="86" t="s">
        <v>738</v>
      </c>
      <c r="I260" s="86" t="s">
        <v>726</v>
      </c>
      <c r="J260" s="86" t="s">
        <v>105</v>
      </c>
      <c r="K260" s="86" t="s">
        <v>1023</v>
      </c>
    </row>
    <row r="261" spans="1:11" s="28" customFormat="1" x14ac:dyDescent="0.25">
      <c r="A261" s="86">
        <v>3</v>
      </c>
      <c r="B261" s="86" t="s">
        <v>755</v>
      </c>
      <c r="C261" s="86">
        <v>3</v>
      </c>
      <c r="D261" s="290">
        <v>1229067.8471679599</v>
      </c>
      <c r="E261" s="86" t="s">
        <v>671</v>
      </c>
      <c r="F261" s="86" t="s">
        <v>672</v>
      </c>
      <c r="G261" s="86" t="s">
        <v>27</v>
      </c>
      <c r="H261" s="86" t="s">
        <v>738</v>
      </c>
      <c r="I261" s="86" t="s">
        <v>726</v>
      </c>
      <c r="J261" s="86" t="s">
        <v>35</v>
      </c>
      <c r="K261" s="86" t="s">
        <v>1024</v>
      </c>
    </row>
    <row r="262" spans="1:11" s="264" customFormat="1" x14ac:dyDescent="0.25">
      <c r="A262" s="262">
        <v>3</v>
      </c>
      <c r="B262" s="262" t="s">
        <v>755</v>
      </c>
      <c r="C262" s="262">
        <v>3</v>
      </c>
      <c r="D262" s="285">
        <v>6900.49169921875</v>
      </c>
      <c r="E262" s="262" t="s">
        <v>147</v>
      </c>
      <c r="F262" s="262" t="s">
        <v>148</v>
      </c>
      <c r="G262" s="262" t="s">
        <v>27</v>
      </c>
      <c r="H262" s="262" t="s">
        <v>738</v>
      </c>
      <c r="I262" s="262" t="s">
        <v>727</v>
      </c>
      <c r="J262" s="262" t="s">
        <v>11</v>
      </c>
      <c r="K262" s="262" t="s">
        <v>1025</v>
      </c>
    </row>
    <row r="263" spans="1:11" s="28" customFormat="1" x14ac:dyDescent="0.25">
      <c r="A263" s="86">
        <v>3</v>
      </c>
      <c r="B263" s="86" t="s">
        <v>755</v>
      </c>
      <c r="C263" s="86">
        <v>3</v>
      </c>
      <c r="D263" s="290">
        <v>89000.313964843706</v>
      </c>
      <c r="E263" s="86" t="s">
        <v>675</v>
      </c>
      <c r="F263" s="86" t="s">
        <v>676</v>
      </c>
      <c r="G263" s="86" t="s">
        <v>27</v>
      </c>
      <c r="H263" s="86" t="s">
        <v>738</v>
      </c>
      <c r="I263" s="86" t="s">
        <v>726</v>
      </c>
      <c r="J263" s="86" t="s">
        <v>35</v>
      </c>
      <c r="K263" s="86" t="s">
        <v>1026</v>
      </c>
    </row>
    <row r="264" spans="1:11" s="28" customFormat="1" x14ac:dyDescent="0.25">
      <c r="A264" s="86">
        <v>3</v>
      </c>
      <c r="B264" s="86" t="s">
        <v>755</v>
      </c>
      <c r="C264" s="86">
        <v>3</v>
      </c>
      <c r="D264" s="290">
        <v>219320.41357421799</v>
      </c>
      <c r="E264" s="86" t="s">
        <v>677</v>
      </c>
      <c r="F264" s="86" t="s">
        <v>678</v>
      </c>
      <c r="G264" s="86" t="s">
        <v>27</v>
      </c>
      <c r="H264" s="86" t="s">
        <v>738</v>
      </c>
      <c r="I264" s="86" t="s">
        <v>726</v>
      </c>
      <c r="J264" s="86" t="s">
        <v>35</v>
      </c>
      <c r="K264" s="86" t="s">
        <v>1027</v>
      </c>
    </row>
    <row r="265" spans="1:11" s="129" customFormat="1" x14ac:dyDescent="0.25">
      <c r="A265" s="130">
        <v>3</v>
      </c>
      <c r="B265" s="130" t="s">
        <v>755</v>
      </c>
      <c r="C265" s="130">
        <v>3</v>
      </c>
      <c r="D265" s="284">
        <v>103878.66699218701</v>
      </c>
      <c r="E265" s="130" t="s">
        <v>659</v>
      </c>
      <c r="F265" s="130" t="s">
        <v>660</v>
      </c>
      <c r="G265" s="130" t="s">
        <v>80</v>
      </c>
      <c r="H265" s="130" t="s">
        <v>733</v>
      </c>
      <c r="I265" s="130" t="s">
        <v>15</v>
      </c>
      <c r="J265" s="130" t="s">
        <v>11</v>
      </c>
      <c r="K265" s="130" t="s">
        <v>906</v>
      </c>
    </row>
    <row r="266" spans="1:11" s="28" customFormat="1" x14ac:dyDescent="0.25">
      <c r="A266" s="86">
        <v>3</v>
      </c>
      <c r="B266" s="86" t="s">
        <v>755</v>
      </c>
      <c r="C266" s="86">
        <v>3</v>
      </c>
      <c r="D266" s="290">
        <v>130668.39404296799</v>
      </c>
      <c r="E266" s="86" t="s">
        <v>684</v>
      </c>
      <c r="F266" s="86" t="s">
        <v>685</v>
      </c>
      <c r="G266" s="86" t="s">
        <v>27</v>
      </c>
      <c r="H266" s="86" t="s">
        <v>738</v>
      </c>
      <c r="I266" s="86" t="s">
        <v>726</v>
      </c>
      <c r="J266" s="86" t="s">
        <v>35</v>
      </c>
      <c r="K266" s="86" t="s">
        <v>1028</v>
      </c>
    </row>
    <row r="267" spans="1:11" s="264" customFormat="1" x14ac:dyDescent="0.25">
      <c r="A267" s="262">
        <v>3</v>
      </c>
      <c r="B267" s="262" t="s">
        <v>755</v>
      </c>
      <c r="C267" s="262">
        <v>3</v>
      </c>
      <c r="D267" s="285">
        <v>2272.09912109375</v>
      </c>
      <c r="E267" s="262" t="s">
        <v>277</v>
      </c>
      <c r="F267" s="262" t="s">
        <v>278</v>
      </c>
      <c r="G267" s="262" t="s">
        <v>46</v>
      </c>
      <c r="H267" s="262" t="s">
        <v>739</v>
      </c>
      <c r="I267" s="262" t="s">
        <v>727</v>
      </c>
      <c r="J267" s="262" t="s">
        <v>11</v>
      </c>
      <c r="K267" s="262" t="s">
        <v>1029</v>
      </c>
    </row>
    <row r="268" spans="1:11" s="129" customFormat="1" x14ac:dyDescent="0.25">
      <c r="A268" s="130">
        <v>3</v>
      </c>
      <c r="B268" s="130" t="s">
        <v>755</v>
      </c>
      <c r="C268" s="130">
        <v>3</v>
      </c>
      <c r="D268" s="284">
        <v>491806.44433593698</v>
      </c>
      <c r="E268" s="130" t="s">
        <v>91</v>
      </c>
      <c r="F268" s="130" t="s">
        <v>92</v>
      </c>
      <c r="G268" s="130" t="s">
        <v>27</v>
      </c>
      <c r="H268" s="130" t="s">
        <v>738</v>
      </c>
      <c r="I268" s="130" t="s">
        <v>15</v>
      </c>
      <c r="J268" s="130" t="s">
        <v>11</v>
      </c>
      <c r="K268" s="130" t="s">
        <v>1030</v>
      </c>
    </row>
    <row r="269" spans="1:11" s="218" customFormat="1" x14ac:dyDescent="0.25">
      <c r="A269" s="265">
        <v>3</v>
      </c>
      <c r="B269" s="265" t="s">
        <v>755</v>
      </c>
      <c r="C269" s="265">
        <v>3</v>
      </c>
      <c r="D269" s="289">
        <v>366550.13574218698</v>
      </c>
      <c r="E269" s="265" t="s">
        <v>603</v>
      </c>
      <c r="F269" s="265" t="s">
        <v>604</v>
      </c>
      <c r="G269" s="265" t="s">
        <v>46</v>
      </c>
      <c r="H269" s="265" t="s">
        <v>739</v>
      </c>
      <c r="I269" s="265" t="s">
        <v>728</v>
      </c>
      <c r="J269" s="265" t="s">
        <v>11</v>
      </c>
      <c r="K269" s="265" t="s">
        <v>1031</v>
      </c>
    </row>
    <row r="270" spans="1:11" s="264" customFormat="1" x14ac:dyDescent="0.25">
      <c r="A270" s="262">
        <v>3</v>
      </c>
      <c r="B270" s="262" t="s">
        <v>755</v>
      </c>
      <c r="C270" s="262">
        <v>3</v>
      </c>
      <c r="D270" s="285">
        <v>841.19189453125</v>
      </c>
      <c r="E270" s="262" t="s">
        <v>494</v>
      </c>
      <c r="F270" s="262" t="s">
        <v>495</v>
      </c>
      <c r="G270" s="262" t="s">
        <v>46</v>
      </c>
      <c r="H270" s="262" t="s">
        <v>739</v>
      </c>
      <c r="I270" s="262" t="s">
        <v>727</v>
      </c>
      <c r="J270" s="262" t="s">
        <v>11</v>
      </c>
      <c r="K270" s="262" t="s">
        <v>1032</v>
      </c>
    </row>
    <row r="271" spans="1:11" s="129" customFormat="1" x14ac:dyDescent="0.25">
      <c r="A271" s="130">
        <v>3</v>
      </c>
      <c r="B271" s="130" t="s">
        <v>755</v>
      </c>
      <c r="C271" s="130">
        <v>3</v>
      </c>
      <c r="D271" s="284">
        <v>3489388.9853515602</v>
      </c>
      <c r="E271" s="130" t="s">
        <v>381</v>
      </c>
      <c r="F271" s="130" t="s">
        <v>382</v>
      </c>
      <c r="G271" s="130" t="s">
        <v>27</v>
      </c>
      <c r="H271" s="130" t="s">
        <v>738</v>
      </c>
      <c r="I271" s="130" t="s">
        <v>15</v>
      </c>
      <c r="J271" s="130" t="s">
        <v>11</v>
      </c>
      <c r="K271" s="130" t="s">
        <v>1033</v>
      </c>
    </row>
    <row r="272" spans="1:11" s="28" customFormat="1" x14ac:dyDescent="0.25">
      <c r="A272" s="86">
        <v>3</v>
      </c>
      <c r="B272" s="86" t="s">
        <v>755</v>
      </c>
      <c r="C272" s="86">
        <v>3</v>
      </c>
      <c r="D272" s="290">
        <v>72291.640625</v>
      </c>
      <c r="E272" s="86" t="s">
        <v>700</v>
      </c>
      <c r="F272" s="86" t="s">
        <v>701</v>
      </c>
      <c r="G272" s="86" t="s">
        <v>27</v>
      </c>
      <c r="H272" s="86" t="s">
        <v>738</v>
      </c>
      <c r="I272" s="86" t="s">
        <v>726</v>
      </c>
      <c r="J272" s="86" t="s">
        <v>35</v>
      </c>
      <c r="K272" s="86" t="s">
        <v>1034</v>
      </c>
    </row>
    <row r="273" spans="1:11" s="28" customFormat="1" x14ac:dyDescent="0.25">
      <c r="A273" s="86">
        <v>3</v>
      </c>
      <c r="B273" s="86" t="s">
        <v>755</v>
      </c>
      <c r="C273" s="86">
        <v>3</v>
      </c>
      <c r="D273" s="290">
        <v>434800.34277343698</v>
      </c>
      <c r="E273" s="86" t="s">
        <v>704</v>
      </c>
      <c r="F273" s="86" t="s">
        <v>705</v>
      </c>
      <c r="G273" s="86" t="s">
        <v>27</v>
      </c>
      <c r="H273" s="86" t="s">
        <v>738</v>
      </c>
      <c r="I273" s="86" t="s">
        <v>726</v>
      </c>
      <c r="J273" s="86" t="s">
        <v>35</v>
      </c>
      <c r="K273" s="86" t="s">
        <v>939</v>
      </c>
    </row>
    <row r="274" spans="1:11" s="28" customFormat="1" x14ac:dyDescent="0.25">
      <c r="A274" s="86">
        <v>3</v>
      </c>
      <c r="B274" s="86" t="s">
        <v>755</v>
      </c>
      <c r="C274" s="86">
        <v>3</v>
      </c>
      <c r="D274" s="290">
        <v>93731.0927734375</v>
      </c>
      <c r="E274" s="86" t="s">
        <v>65</v>
      </c>
      <c r="F274" s="86" t="s">
        <v>66</v>
      </c>
      <c r="G274" s="86" t="s">
        <v>27</v>
      </c>
      <c r="H274" s="86" t="s">
        <v>738</v>
      </c>
      <c r="I274" s="86" t="s">
        <v>726</v>
      </c>
      <c r="J274" s="86" t="s">
        <v>105</v>
      </c>
      <c r="K274" s="86" t="s">
        <v>1035</v>
      </c>
    </row>
    <row r="275" spans="1:11" s="28" customFormat="1" x14ac:dyDescent="0.25">
      <c r="A275" s="86">
        <v>3</v>
      </c>
      <c r="B275" s="86" t="s">
        <v>755</v>
      </c>
      <c r="C275" s="86">
        <v>3</v>
      </c>
      <c r="D275" s="290">
        <v>476934.11816406198</v>
      </c>
      <c r="E275" s="86" t="s">
        <v>708</v>
      </c>
      <c r="F275" s="86" t="s">
        <v>709</v>
      </c>
      <c r="G275" s="86" t="s">
        <v>46</v>
      </c>
      <c r="H275" s="86" t="s">
        <v>739</v>
      </c>
      <c r="I275" s="86" t="s">
        <v>726</v>
      </c>
      <c r="J275" s="86" t="s">
        <v>35</v>
      </c>
      <c r="K275" s="86" t="s">
        <v>1036</v>
      </c>
    </row>
    <row r="276" spans="1:11" s="218" customFormat="1" x14ac:dyDescent="0.25">
      <c r="A276" s="265">
        <v>3</v>
      </c>
      <c r="B276" s="265" t="s">
        <v>755</v>
      </c>
      <c r="C276" s="265">
        <v>3</v>
      </c>
      <c r="D276" s="289">
        <v>1403272.90527343</v>
      </c>
      <c r="E276" s="265" t="s">
        <v>511</v>
      </c>
      <c r="F276" s="265" t="s">
        <v>512</v>
      </c>
      <c r="G276" s="265" t="s">
        <v>27</v>
      </c>
      <c r="H276" s="265" t="s">
        <v>738</v>
      </c>
      <c r="I276" s="265" t="s">
        <v>728</v>
      </c>
      <c r="J276" s="265" t="s">
        <v>11</v>
      </c>
      <c r="K276" s="265" t="s">
        <v>1037</v>
      </c>
    </row>
    <row r="277" spans="1:11" s="218" customFormat="1" x14ac:dyDescent="0.25">
      <c r="A277" s="265">
        <v>3</v>
      </c>
      <c r="B277" s="265" t="s">
        <v>755</v>
      </c>
      <c r="C277" s="265">
        <v>3</v>
      </c>
      <c r="D277" s="289">
        <v>138508.74169921799</v>
      </c>
      <c r="E277" s="265" t="s">
        <v>523</v>
      </c>
      <c r="F277" s="265" t="s">
        <v>524</v>
      </c>
      <c r="G277" s="265" t="s">
        <v>46</v>
      </c>
      <c r="H277" s="265" t="s">
        <v>739</v>
      </c>
      <c r="I277" s="265" t="s">
        <v>728</v>
      </c>
      <c r="J277" s="265" t="s">
        <v>11</v>
      </c>
      <c r="K277" s="265" t="s">
        <v>1038</v>
      </c>
    </row>
    <row r="278" spans="1:11" s="129" customFormat="1" x14ac:dyDescent="0.25">
      <c r="A278" s="130">
        <v>3</v>
      </c>
      <c r="B278" s="130" t="s">
        <v>755</v>
      </c>
      <c r="C278" s="130">
        <v>3</v>
      </c>
      <c r="D278" s="284">
        <v>948704.93701171805</v>
      </c>
      <c r="E278" s="130" t="s">
        <v>629</v>
      </c>
      <c r="F278" s="130" t="s">
        <v>630</v>
      </c>
      <c r="G278" s="130" t="s">
        <v>46</v>
      </c>
      <c r="H278" s="130" t="s">
        <v>739</v>
      </c>
      <c r="I278" s="130" t="s">
        <v>15</v>
      </c>
      <c r="J278" s="130" t="s">
        <v>11</v>
      </c>
      <c r="K278" s="130" t="s">
        <v>1039</v>
      </c>
    </row>
    <row r="279" spans="1:11" s="129" customFormat="1" x14ac:dyDescent="0.25">
      <c r="A279" s="130">
        <v>3</v>
      </c>
      <c r="B279" s="130" t="s">
        <v>755</v>
      </c>
      <c r="C279" s="130">
        <v>3</v>
      </c>
      <c r="D279" s="284">
        <v>243927.58251953099</v>
      </c>
      <c r="E279" s="130" t="s">
        <v>297</v>
      </c>
      <c r="F279" s="130" t="s">
        <v>298</v>
      </c>
      <c r="G279" s="130" t="s">
        <v>46</v>
      </c>
      <c r="H279" s="130" t="s">
        <v>739</v>
      </c>
      <c r="I279" s="130" t="s">
        <v>15</v>
      </c>
      <c r="J279" s="130" t="s">
        <v>11</v>
      </c>
      <c r="K279" s="130" t="s">
        <v>1040</v>
      </c>
    </row>
    <row r="280" spans="1:11" s="28" customFormat="1" x14ac:dyDescent="0.25">
      <c r="A280" s="86">
        <v>3</v>
      </c>
      <c r="B280" s="86" t="s">
        <v>755</v>
      </c>
      <c r="C280" s="86">
        <v>3</v>
      </c>
      <c r="D280" s="290">
        <v>207331.55761718701</v>
      </c>
      <c r="E280" s="86" t="s">
        <v>283</v>
      </c>
      <c r="F280" s="86" t="s">
        <v>284</v>
      </c>
      <c r="G280" s="86" t="s">
        <v>27</v>
      </c>
      <c r="H280" s="86" t="s">
        <v>738</v>
      </c>
      <c r="I280" s="86" t="s">
        <v>726</v>
      </c>
      <c r="J280" s="86" t="s">
        <v>105</v>
      </c>
      <c r="K280" s="86" t="s">
        <v>1041</v>
      </c>
    </row>
    <row r="281" spans="1:11" s="28" customFormat="1" x14ac:dyDescent="0.25">
      <c r="A281" s="86">
        <v>3</v>
      </c>
      <c r="B281" s="86" t="s">
        <v>755</v>
      </c>
      <c r="C281" s="86">
        <v>3</v>
      </c>
      <c r="D281" s="290">
        <v>17269.728515625</v>
      </c>
      <c r="E281" s="86" t="s">
        <v>684</v>
      </c>
      <c r="F281" s="86" t="s">
        <v>685</v>
      </c>
      <c r="G281" s="86" t="s">
        <v>27</v>
      </c>
      <c r="H281" s="86" t="s">
        <v>738</v>
      </c>
      <c r="I281" s="86" t="s">
        <v>726</v>
      </c>
      <c r="J281" s="86" t="s">
        <v>105</v>
      </c>
      <c r="K281" s="86" t="s">
        <v>1042</v>
      </c>
    </row>
    <row r="282" spans="1:11" s="28" customFormat="1" x14ac:dyDescent="0.25">
      <c r="A282" s="86">
        <v>3</v>
      </c>
      <c r="B282" s="86" t="s">
        <v>755</v>
      </c>
      <c r="C282" s="86">
        <v>3</v>
      </c>
      <c r="D282" s="290">
        <v>849623.80175781203</v>
      </c>
      <c r="E282" s="86" t="s">
        <v>720</v>
      </c>
      <c r="F282" s="86" t="s">
        <v>721</v>
      </c>
      <c r="G282" s="86" t="s">
        <v>30</v>
      </c>
      <c r="H282" s="86" t="s">
        <v>732</v>
      </c>
      <c r="I282" s="86" t="s">
        <v>726</v>
      </c>
      <c r="J282" s="86" t="s">
        <v>35</v>
      </c>
      <c r="K282" s="86" t="s">
        <v>1043</v>
      </c>
    </row>
    <row r="283" spans="1:11" s="28" customFormat="1" x14ac:dyDescent="0.25">
      <c r="A283" s="86">
        <v>3</v>
      </c>
      <c r="B283" s="86" t="s">
        <v>755</v>
      </c>
      <c r="C283" s="86">
        <v>3</v>
      </c>
      <c r="D283" s="290">
        <v>3759515.94921875</v>
      </c>
      <c r="E283" s="86" t="s">
        <v>103</v>
      </c>
      <c r="F283" s="86" t="s">
        <v>104</v>
      </c>
      <c r="G283" s="86" t="s">
        <v>27</v>
      </c>
      <c r="H283" s="86" t="s">
        <v>738</v>
      </c>
      <c r="I283" s="86" t="s">
        <v>726</v>
      </c>
      <c r="J283" s="86" t="s">
        <v>35</v>
      </c>
      <c r="K283" s="86" t="s">
        <v>1044</v>
      </c>
    </row>
    <row r="284" spans="1:11" s="264" customFormat="1" x14ac:dyDescent="0.25">
      <c r="A284" s="262">
        <v>3</v>
      </c>
      <c r="B284" s="262" t="s">
        <v>755</v>
      </c>
      <c r="C284" s="262">
        <v>3</v>
      </c>
      <c r="D284" s="285">
        <v>7914.27392578125</v>
      </c>
      <c r="E284" s="262" t="s">
        <v>25</v>
      </c>
      <c r="F284" s="262" t="s">
        <v>26</v>
      </c>
      <c r="G284" s="262" t="s">
        <v>27</v>
      </c>
      <c r="H284" s="262" t="s">
        <v>738</v>
      </c>
      <c r="I284" s="262" t="s">
        <v>727</v>
      </c>
      <c r="J284" s="262" t="s">
        <v>11</v>
      </c>
      <c r="K284" s="262" t="s">
        <v>1045</v>
      </c>
    </row>
    <row r="285" spans="1:11" s="264" customFormat="1" x14ac:dyDescent="0.25">
      <c r="A285" s="262">
        <v>3</v>
      </c>
      <c r="B285" s="262" t="s">
        <v>755</v>
      </c>
      <c r="C285" s="262">
        <v>3</v>
      </c>
      <c r="D285" s="285">
        <v>36811.3076171875</v>
      </c>
      <c r="E285" s="262" t="s">
        <v>91</v>
      </c>
      <c r="F285" s="262" t="s">
        <v>92</v>
      </c>
      <c r="G285" s="262" t="s">
        <v>27</v>
      </c>
      <c r="H285" s="262" t="s">
        <v>738</v>
      </c>
      <c r="I285" s="262" t="s">
        <v>727</v>
      </c>
      <c r="J285" s="262" t="s">
        <v>11</v>
      </c>
      <c r="K285" s="262" t="s">
        <v>1046</v>
      </c>
    </row>
  </sheetData>
  <autoFilter ref="A1:K285" xr:uid="{FA7B1E7D-20A7-4951-A6E8-BC248E30062A}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1</vt:i4>
      </vt:variant>
    </vt:vector>
  </HeadingPairs>
  <TitlesOfParts>
    <vt:vector size="9" baseType="lpstr">
      <vt:lpstr>ZoneInondable2022</vt:lpstr>
      <vt:lpstr>communesZI</vt:lpstr>
      <vt:lpstr>resultats</vt:lpstr>
      <vt:lpstr>BV</vt:lpstr>
      <vt:lpstr>calcul</vt:lpstr>
      <vt:lpstr>alea_gardon</vt:lpstr>
      <vt:lpstr>ZI_BV</vt:lpstr>
      <vt:lpstr>ZI_BV_inond</vt:lpstr>
      <vt:lpstr>Base_de_donnees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UYUNI REYES Violaine</dc:creator>
  <cp:lastModifiedBy>UYUNI REYES Violaine</cp:lastModifiedBy>
  <dcterms:created xsi:type="dcterms:W3CDTF">2023-01-31T10:34:37Z</dcterms:created>
  <dcterms:modified xsi:type="dcterms:W3CDTF">2023-02-14T10:10:46Z</dcterms:modified>
</cp:coreProperties>
</file>