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1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2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3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3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P:\Ddr\P01183-SEMA\5-Risque inondation\e- Observatoire\observatoire risque\base de données indicateurs\pop ZI\pop ZI 2007-2012-2017-2022\"/>
    </mc:Choice>
  </mc:AlternateContent>
  <xr:revisionPtr revIDLastSave="0" documentId="13_ncr:1_{0CA95278-D64F-4FFD-9FAC-4651AD79FA50}" xr6:coauthVersionLast="40" xr6:coauthVersionMax="40" xr10:uidLastSave="{00000000-0000-0000-0000-000000000000}"/>
  <bookViews>
    <workbookView xWindow="-20610" yWindow="615" windowWidth="20730" windowHeight="11160" tabRatio="506" xr2:uid="{00000000-000D-0000-FFFF-FFFF00000000}"/>
  </bookViews>
  <sheets>
    <sheet name="GARD" sheetId="1" r:id="rId1"/>
    <sheet name="PAPI_BV" sheetId="2" r:id="rId2"/>
    <sheet name="Tableaux PAPI BV" sheetId="4" r:id="rId3"/>
  </sheets>
  <definedNames>
    <definedName name="_xlnm._FilterDatabase" localSheetId="2" hidden="1">'Tableaux PAPI BV'!$A$1:$S$37</definedName>
    <definedName name="_xlchart.v1.0" hidden="1">GARD!$F$2:$J$2</definedName>
    <definedName name="_xlchart.v1.1" hidden="1">GARD!$F$3:$J$3</definedName>
    <definedName name="_xlchart.v1.2" hidden="1">PAPI_BV!$C$44</definedName>
    <definedName name="_xlchart.v1.3" hidden="1">PAPI_BV!$H$43:$L$43</definedName>
    <definedName name="_xlchart.v1.4" hidden="1">PAPI_BV!$H$44:$L$44</definedName>
    <definedName name="_xlchart.v1.5" hidden="1">PAPI_BV!$C$44</definedName>
    <definedName name="_xlchart.v1.6" hidden="1">PAPI_BV!$C$45</definedName>
    <definedName name="_xlchart.v1.7" hidden="1">PAPI_BV!$H$43:$L$43</definedName>
    <definedName name="_xlchart.v1.8" hidden="1">PAPI_BV!$H$44:$L$44</definedName>
    <definedName name="_xlchart.v1.9" hidden="1">PAPI_BV!$H$45:$L$45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4" i="2" l="1"/>
  <c r="I83" i="2"/>
  <c r="I82" i="2"/>
  <c r="I81" i="2"/>
  <c r="I80" i="2"/>
  <c r="I79" i="2"/>
  <c r="I78" i="2"/>
  <c r="I77" i="2"/>
  <c r="I76" i="2"/>
  <c r="J84" i="2"/>
  <c r="J83" i="2"/>
  <c r="J82" i="2"/>
  <c r="J81" i="2"/>
  <c r="J80" i="2"/>
  <c r="J79" i="2"/>
  <c r="J78" i="2"/>
  <c r="J77" i="2"/>
  <c r="J76" i="2"/>
  <c r="H84" i="2" l="1"/>
  <c r="G84" i="2"/>
  <c r="F84" i="2"/>
  <c r="E84" i="2"/>
  <c r="D84" i="2"/>
  <c r="H83" i="2"/>
  <c r="G83" i="2"/>
  <c r="F83" i="2"/>
  <c r="E83" i="2"/>
  <c r="D83" i="2"/>
  <c r="H82" i="2"/>
  <c r="G82" i="2"/>
  <c r="F82" i="2"/>
  <c r="E82" i="2"/>
  <c r="D82" i="2"/>
  <c r="H81" i="2"/>
  <c r="G81" i="2"/>
  <c r="F81" i="2"/>
  <c r="E81" i="2"/>
  <c r="D81" i="2"/>
  <c r="H80" i="2"/>
  <c r="G80" i="2"/>
  <c r="F80" i="2"/>
  <c r="E80" i="2"/>
  <c r="D80" i="2"/>
  <c r="H79" i="2"/>
  <c r="G79" i="2"/>
  <c r="F79" i="2"/>
  <c r="E79" i="2"/>
  <c r="D79" i="2"/>
  <c r="H78" i="2"/>
  <c r="G78" i="2"/>
  <c r="F78" i="2"/>
  <c r="E78" i="2"/>
  <c r="D78" i="2"/>
  <c r="H77" i="2"/>
  <c r="G77" i="2"/>
  <c r="F77" i="2"/>
  <c r="E77" i="2"/>
  <c r="D77" i="2"/>
  <c r="H76" i="2"/>
  <c r="G76" i="2"/>
  <c r="F76" i="2"/>
  <c r="E76" i="2"/>
  <c r="D76" i="2"/>
  <c r="H32" i="1" l="1"/>
  <c r="H31" i="1"/>
  <c r="F32" i="1"/>
  <c r="F31" i="1"/>
  <c r="H33" i="1"/>
  <c r="F33" i="1"/>
  <c r="D33" i="1"/>
  <c r="D32" i="1"/>
  <c r="D31" i="1"/>
  <c r="B33" i="1"/>
  <c r="B32" i="1"/>
  <c r="B31" i="1"/>
  <c r="N9" i="4"/>
  <c r="E46" i="4"/>
  <c r="M9" i="4"/>
  <c r="L9" i="4"/>
  <c r="K9" i="4"/>
  <c r="J9" i="4"/>
  <c r="I9" i="4"/>
  <c r="H9" i="4"/>
  <c r="F9" i="4"/>
  <c r="E9" i="4"/>
  <c r="D9" i="4"/>
  <c r="M8" i="4"/>
  <c r="L8" i="4"/>
  <c r="K8" i="4"/>
  <c r="J8" i="4"/>
  <c r="I8" i="4"/>
  <c r="H8" i="4"/>
  <c r="F8" i="4"/>
  <c r="E8" i="4"/>
  <c r="D8" i="4"/>
  <c r="M7" i="4"/>
  <c r="L7" i="4"/>
  <c r="K7" i="4"/>
  <c r="J7" i="4"/>
  <c r="I7" i="4"/>
  <c r="H7" i="4"/>
  <c r="F7" i="4"/>
  <c r="E7" i="4"/>
  <c r="D7" i="4"/>
  <c r="G8" i="4"/>
  <c r="G6" i="4"/>
  <c r="N6" i="4"/>
  <c r="B46" i="4" s="1"/>
  <c r="M6" i="4"/>
  <c r="L6" i="4"/>
  <c r="K6" i="4"/>
  <c r="J6" i="4"/>
  <c r="I6" i="4"/>
  <c r="H6" i="4"/>
  <c r="F6" i="4"/>
  <c r="E6" i="4"/>
  <c r="D6" i="4"/>
  <c r="N5" i="4"/>
  <c r="E41" i="4" s="1"/>
  <c r="N4" i="4"/>
  <c r="D41" i="4" s="1"/>
  <c r="N3" i="4"/>
  <c r="C41" i="4" s="1"/>
  <c r="N2" i="4"/>
  <c r="B41" i="4" s="1"/>
  <c r="M5" i="4"/>
  <c r="L5" i="4"/>
  <c r="K5" i="4"/>
  <c r="J5" i="4"/>
  <c r="I5" i="4"/>
  <c r="H5" i="4"/>
  <c r="F5" i="4"/>
  <c r="E5" i="4"/>
  <c r="D5" i="4"/>
  <c r="M4" i="4"/>
  <c r="L4" i="4"/>
  <c r="K4" i="4"/>
  <c r="J4" i="4"/>
  <c r="I4" i="4"/>
  <c r="H4" i="4"/>
  <c r="F4" i="4"/>
  <c r="E4" i="4"/>
  <c r="D4" i="4"/>
  <c r="M3" i="4"/>
  <c r="L3" i="4"/>
  <c r="K3" i="4"/>
  <c r="J3" i="4"/>
  <c r="I3" i="4"/>
  <c r="H3" i="4"/>
  <c r="F3" i="4"/>
  <c r="E3" i="4"/>
  <c r="D3" i="4"/>
  <c r="M2" i="4"/>
  <c r="L2" i="4"/>
  <c r="K2" i="4"/>
  <c r="J2" i="4"/>
  <c r="I2" i="4"/>
  <c r="H2" i="4"/>
  <c r="F2" i="4"/>
  <c r="E2" i="4"/>
  <c r="D2" i="4"/>
  <c r="G17" i="4"/>
  <c r="G16" i="4"/>
  <c r="G15" i="4"/>
  <c r="G14" i="4"/>
  <c r="N17" i="4"/>
  <c r="N16" i="4"/>
  <c r="N15" i="4"/>
  <c r="N14" i="4"/>
  <c r="B56" i="4" s="1"/>
  <c r="M17" i="4"/>
  <c r="L17" i="4"/>
  <c r="K17" i="4"/>
  <c r="J17" i="4"/>
  <c r="I17" i="4"/>
  <c r="H17" i="4"/>
  <c r="F17" i="4"/>
  <c r="E17" i="4"/>
  <c r="D17" i="4"/>
  <c r="M16" i="4"/>
  <c r="L16" i="4"/>
  <c r="K16" i="4"/>
  <c r="J16" i="4"/>
  <c r="I16" i="4"/>
  <c r="H16" i="4"/>
  <c r="F16" i="4"/>
  <c r="E16" i="4"/>
  <c r="D16" i="4"/>
  <c r="M15" i="4"/>
  <c r="L15" i="4"/>
  <c r="K15" i="4"/>
  <c r="J15" i="4"/>
  <c r="I15" i="4"/>
  <c r="H15" i="4"/>
  <c r="F15" i="4"/>
  <c r="E15" i="4"/>
  <c r="D15" i="4"/>
  <c r="M14" i="4"/>
  <c r="L14" i="4"/>
  <c r="K14" i="4"/>
  <c r="J14" i="4"/>
  <c r="I14" i="4"/>
  <c r="H14" i="4"/>
  <c r="F14" i="4"/>
  <c r="E14" i="4"/>
  <c r="D14" i="4"/>
  <c r="G37" i="4"/>
  <c r="G36" i="4"/>
  <c r="G35" i="4"/>
  <c r="G34" i="4"/>
  <c r="N37" i="4"/>
  <c r="E81" i="4" s="1"/>
  <c r="N36" i="4"/>
  <c r="D81" i="4" s="1"/>
  <c r="N35" i="4"/>
  <c r="C81" i="4" s="1"/>
  <c r="N34" i="4"/>
  <c r="B81" i="4" s="1"/>
  <c r="M37" i="4"/>
  <c r="L37" i="4"/>
  <c r="K37" i="4"/>
  <c r="J37" i="4"/>
  <c r="I37" i="4"/>
  <c r="H37" i="4"/>
  <c r="F37" i="4"/>
  <c r="E37" i="4"/>
  <c r="D37" i="4"/>
  <c r="M36" i="4"/>
  <c r="L36" i="4"/>
  <c r="K36" i="4"/>
  <c r="J36" i="4"/>
  <c r="I36" i="4"/>
  <c r="H36" i="4"/>
  <c r="F36" i="4"/>
  <c r="E36" i="4"/>
  <c r="D36" i="4"/>
  <c r="M35" i="4"/>
  <c r="L35" i="4"/>
  <c r="K35" i="4"/>
  <c r="J35" i="4"/>
  <c r="I35" i="4"/>
  <c r="H35" i="4"/>
  <c r="F35" i="4"/>
  <c r="E35" i="4"/>
  <c r="D35" i="4"/>
  <c r="M34" i="4"/>
  <c r="L34" i="4"/>
  <c r="K34" i="4"/>
  <c r="J34" i="4"/>
  <c r="I34" i="4"/>
  <c r="H34" i="4"/>
  <c r="F34" i="4"/>
  <c r="E34" i="4"/>
  <c r="D34" i="4"/>
  <c r="N21" i="4"/>
  <c r="E61" i="4" s="1"/>
  <c r="N20" i="4"/>
  <c r="D61" i="4" s="1"/>
  <c r="N19" i="4"/>
  <c r="C61" i="4" s="1"/>
  <c r="N18" i="4"/>
  <c r="B61" i="4" s="1"/>
  <c r="M21" i="4"/>
  <c r="L21" i="4"/>
  <c r="K21" i="4"/>
  <c r="J21" i="4"/>
  <c r="I21" i="4"/>
  <c r="H21" i="4"/>
  <c r="M20" i="4"/>
  <c r="L20" i="4"/>
  <c r="K20" i="4"/>
  <c r="J20" i="4"/>
  <c r="I20" i="4"/>
  <c r="H20" i="4"/>
  <c r="M19" i="4"/>
  <c r="L19" i="4"/>
  <c r="K19" i="4"/>
  <c r="J19" i="4"/>
  <c r="I19" i="4"/>
  <c r="H19" i="4"/>
  <c r="M18" i="4"/>
  <c r="L18" i="4"/>
  <c r="K18" i="4"/>
  <c r="J18" i="4"/>
  <c r="I18" i="4"/>
  <c r="H18" i="4"/>
  <c r="G21" i="4"/>
  <c r="G20" i="4"/>
  <c r="G19" i="4"/>
  <c r="G18" i="4"/>
  <c r="F21" i="4"/>
  <c r="E21" i="4"/>
  <c r="D21" i="4"/>
  <c r="F20" i="4"/>
  <c r="E20" i="4"/>
  <c r="D20" i="4"/>
  <c r="F19" i="4"/>
  <c r="E19" i="4"/>
  <c r="D19" i="4"/>
  <c r="F18" i="4"/>
  <c r="E18" i="4"/>
  <c r="D18" i="4"/>
  <c r="N33" i="4"/>
  <c r="E76" i="4" s="1"/>
  <c r="N32" i="4"/>
  <c r="D76" i="4" s="1"/>
  <c r="N31" i="4"/>
  <c r="N30" i="4"/>
  <c r="B76" i="4" s="1"/>
  <c r="M33" i="4"/>
  <c r="L33" i="4"/>
  <c r="K33" i="4"/>
  <c r="J33" i="4"/>
  <c r="I33" i="4"/>
  <c r="H33" i="4"/>
  <c r="M32" i="4"/>
  <c r="L32" i="4"/>
  <c r="K32" i="4"/>
  <c r="J32" i="4"/>
  <c r="I32" i="4"/>
  <c r="H32" i="4"/>
  <c r="M31" i="4"/>
  <c r="L31" i="4"/>
  <c r="K31" i="4"/>
  <c r="J31" i="4"/>
  <c r="I31" i="4"/>
  <c r="H31" i="4"/>
  <c r="M30" i="4"/>
  <c r="L30" i="4"/>
  <c r="K30" i="4"/>
  <c r="J30" i="4"/>
  <c r="I30" i="4"/>
  <c r="H30" i="4"/>
  <c r="F33" i="4"/>
  <c r="E33" i="4"/>
  <c r="D33" i="4"/>
  <c r="F32" i="4"/>
  <c r="E32" i="4"/>
  <c r="D32" i="4"/>
  <c r="F31" i="4"/>
  <c r="E31" i="4"/>
  <c r="D31" i="4"/>
  <c r="G30" i="4"/>
  <c r="F30" i="4"/>
  <c r="E30" i="4"/>
  <c r="D30" i="4"/>
  <c r="S15" i="4" l="1"/>
  <c r="G9" i="4"/>
  <c r="N8" i="4"/>
  <c r="N7" i="4"/>
  <c r="G7" i="4"/>
  <c r="S3" i="4"/>
  <c r="S17" i="4"/>
  <c r="S4" i="4"/>
  <c r="S5" i="4"/>
  <c r="S16" i="4"/>
  <c r="C56" i="4"/>
  <c r="S37" i="4"/>
  <c r="D56" i="4"/>
  <c r="E56" i="4"/>
  <c r="S21" i="4"/>
  <c r="S35" i="4"/>
  <c r="S31" i="4"/>
  <c r="S36" i="4"/>
  <c r="S19" i="4"/>
  <c r="S20" i="4"/>
  <c r="C76" i="4"/>
  <c r="S32" i="4"/>
  <c r="S33" i="4"/>
  <c r="G33" i="4"/>
  <c r="G32" i="4"/>
  <c r="G31" i="4"/>
  <c r="M25" i="4"/>
  <c r="L25" i="4"/>
  <c r="K25" i="4"/>
  <c r="J25" i="4"/>
  <c r="I25" i="4"/>
  <c r="H25" i="4"/>
  <c r="M24" i="4"/>
  <c r="L24" i="4"/>
  <c r="K24" i="4"/>
  <c r="J24" i="4"/>
  <c r="N24" i="4" s="1"/>
  <c r="I24" i="4"/>
  <c r="H24" i="4"/>
  <c r="M23" i="4"/>
  <c r="L23" i="4"/>
  <c r="K23" i="4"/>
  <c r="J23" i="4"/>
  <c r="N23" i="4" s="1"/>
  <c r="I23" i="4"/>
  <c r="H23" i="4"/>
  <c r="N22" i="4"/>
  <c r="M22" i="4"/>
  <c r="L22" i="4"/>
  <c r="K22" i="4"/>
  <c r="J22" i="4"/>
  <c r="I22" i="4"/>
  <c r="H22" i="4"/>
  <c r="F25" i="4"/>
  <c r="E25" i="4"/>
  <c r="D25" i="4"/>
  <c r="F24" i="4"/>
  <c r="E24" i="4"/>
  <c r="D24" i="4"/>
  <c r="G24" i="4" s="1"/>
  <c r="D66" i="4" s="1"/>
  <c r="G25" i="4"/>
  <c r="E66" i="4" s="1"/>
  <c r="G23" i="4"/>
  <c r="C66" i="4" s="1"/>
  <c r="F23" i="4"/>
  <c r="E23" i="4"/>
  <c r="D23" i="4"/>
  <c r="G22" i="4"/>
  <c r="B66" i="4" s="1"/>
  <c r="F22" i="4"/>
  <c r="E22" i="4"/>
  <c r="D22" i="4"/>
  <c r="M29" i="4"/>
  <c r="L29" i="4"/>
  <c r="K29" i="4"/>
  <c r="J29" i="4"/>
  <c r="I29" i="4"/>
  <c r="H29" i="4"/>
  <c r="F29" i="4"/>
  <c r="E29" i="4"/>
  <c r="D29" i="4"/>
  <c r="M28" i="4"/>
  <c r="L28" i="4"/>
  <c r="K28" i="4"/>
  <c r="J28" i="4"/>
  <c r="I28" i="4"/>
  <c r="H28" i="4"/>
  <c r="F28" i="4"/>
  <c r="E28" i="4"/>
  <c r="D28" i="4"/>
  <c r="M27" i="4"/>
  <c r="L27" i="4"/>
  <c r="K27" i="4"/>
  <c r="J27" i="4"/>
  <c r="I27" i="4"/>
  <c r="H27" i="4"/>
  <c r="G27" i="4"/>
  <c r="C71" i="4" s="1"/>
  <c r="F27" i="4"/>
  <c r="E27" i="4"/>
  <c r="D27" i="4"/>
  <c r="N26" i="4"/>
  <c r="M26" i="4"/>
  <c r="L26" i="4"/>
  <c r="K26" i="4"/>
  <c r="J26" i="4"/>
  <c r="I26" i="4"/>
  <c r="H26" i="4"/>
  <c r="G26" i="4"/>
  <c r="B71" i="4" s="1"/>
  <c r="F26" i="4"/>
  <c r="E26" i="4"/>
  <c r="D26" i="4"/>
  <c r="M13" i="4"/>
  <c r="L13" i="4"/>
  <c r="K13" i="4"/>
  <c r="J13" i="4"/>
  <c r="I13" i="4"/>
  <c r="H13" i="4"/>
  <c r="F13" i="4"/>
  <c r="E13" i="4"/>
  <c r="D13" i="4"/>
  <c r="M12" i="4"/>
  <c r="L12" i="4"/>
  <c r="K12" i="4"/>
  <c r="J12" i="4"/>
  <c r="I12" i="4"/>
  <c r="H12" i="4"/>
  <c r="F12" i="4"/>
  <c r="E12" i="4"/>
  <c r="D12" i="4"/>
  <c r="N11" i="4"/>
  <c r="M11" i="4"/>
  <c r="L11" i="4"/>
  <c r="K11" i="4"/>
  <c r="J11" i="4"/>
  <c r="I11" i="4"/>
  <c r="H11" i="4"/>
  <c r="G11" i="4"/>
  <c r="C51" i="4" s="1"/>
  <c r="F11" i="4"/>
  <c r="E11" i="4"/>
  <c r="D11" i="4"/>
  <c r="N10" i="4"/>
  <c r="M10" i="4"/>
  <c r="L10" i="4"/>
  <c r="K10" i="4"/>
  <c r="J10" i="4"/>
  <c r="I10" i="4"/>
  <c r="H10" i="4"/>
  <c r="G10" i="4"/>
  <c r="B51" i="4" s="1"/>
  <c r="F10" i="4"/>
  <c r="E10" i="4"/>
  <c r="D10" i="4"/>
  <c r="D46" i="4" l="1"/>
  <c r="S8" i="4"/>
  <c r="C46" i="4"/>
  <c r="S7" i="4"/>
  <c r="S9" i="4"/>
  <c r="S11" i="4"/>
  <c r="S24" i="4"/>
  <c r="S23" i="4"/>
  <c r="N25" i="4"/>
  <c r="N29" i="4"/>
  <c r="G29" i="4"/>
  <c r="E71" i="4" s="1"/>
  <c r="N28" i="4"/>
  <c r="G28" i="4"/>
  <c r="D71" i="4" s="1"/>
  <c r="N27" i="4"/>
  <c r="N13" i="4"/>
  <c r="G13" i="4"/>
  <c r="E51" i="4" s="1"/>
  <c r="N12" i="4"/>
  <c r="G12" i="4"/>
  <c r="D51" i="4" s="1"/>
  <c r="O3" i="4"/>
  <c r="O4" i="4"/>
  <c r="O5" i="4"/>
  <c r="O6" i="4"/>
  <c r="O7" i="4"/>
  <c r="O8" i="4"/>
  <c r="O9" i="4"/>
  <c r="O10" i="4"/>
  <c r="O11" i="4"/>
  <c r="O14" i="4"/>
  <c r="O15" i="4"/>
  <c r="O16" i="4"/>
  <c r="O17" i="4"/>
  <c r="O18" i="4"/>
  <c r="O19" i="4"/>
  <c r="O20" i="4"/>
  <c r="O21" i="4"/>
  <c r="O22" i="4"/>
  <c r="O23" i="4"/>
  <c r="O24" i="4"/>
  <c r="O26" i="4"/>
  <c r="O30" i="4"/>
  <c r="O31" i="4"/>
  <c r="O32" i="4"/>
  <c r="O33" i="4"/>
  <c r="O34" i="4"/>
  <c r="O35" i="4"/>
  <c r="O36" i="4"/>
  <c r="O37" i="4"/>
  <c r="O2" i="4"/>
  <c r="P7" i="4" l="1"/>
  <c r="C47" i="4"/>
  <c r="C48" i="4" s="1"/>
  <c r="R7" i="4"/>
  <c r="Q7" i="4"/>
  <c r="P6" i="4"/>
  <c r="B47" i="4"/>
  <c r="B48" i="4" s="1"/>
  <c r="P8" i="4"/>
  <c r="R8" i="4"/>
  <c r="D47" i="4"/>
  <c r="D48" i="4" s="1"/>
  <c r="Q8" i="4"/>
  <c r="P9" i="4"/>
  <c r="Q9" i="4"/>
  <c r="R9" i="4"/>
  <c r="E47" i="4"/>
  <c r="E48" i="4" s="1"/>
  <c r="P3" i="4"/>
  <c r="Q3" i="4"/>
  <c r="C42" i="4"/>
  <c r="C43" i="4" s="1"/>
  <c r="R3" i="4"/>
  <c r="P5" i="4"/>
  <c r="E42" i="4"/>
  <c r="E43" i="4" s="1"/>
  <c r="R5" i="4"/>
  <c r="Q5" i="4"/>
  <c r="P2" i="4"/>
  <c r="B42" i="4"/>
  <c r="B43" i="4" s="1"/>
  <c r="P4" i="4"/>
  <c r="Q4" i="4"/>
  <c r="D42" i="4"/>
  <c r="D43" i="4" s="1"/>
  <c r="R4" i="4"/>
  <c r="P17" i="4"/>
  <c r="E57" i="4"/>
  <c r="E58" i="4" s="1"/>
  <c r="Q17" i="4"/>
  <c r="R17" i="4"/>
  <c r="P15" i="4"/>
  <c r="Q15" i="4"/>
  <c r="R15" i="4"/>
  <c r="C57" i="4"/>
  <c r="C58" i="4" s="1"/>
  <c r="P14" i="4"/>
  <c r="B57" i="4"/>
  <c r="B58" i="4" s="1"/>
  <c r="P16" i="4"/>
  <c r="R16" i="4"/>
  <c r="Q16" i="4"/>
  <c r="D57" i="4"/>
  <c r="D58" i="4" s="1"/>
  <c r="P35" i="4"/>
  <c r="Q35" i="4"/>
  <c r="R35" i="4"/>
  <c r="C82" i="4"/>
  <c r="C83" i="4" s="1"/>
  <c r="P34" i="4"/>
  <c r="B82" i="4"/>
  <c r="B83" i="4" s="1"/>
  <c r="P37" i="4"/>
  <c r="E82" i="4"/>
  <c r="E83" i="4" s="1"/>
  <c r="Q37" i="4"/>
  <c r="R37" i="4"/>
  <c r="P36" i="4"/>
  <c r="R36" i="4"/>
  <c r="D82" i="4"/>
  <c r="D83" i="4" s="1"/>
  <c r="Q36" i="4"/>
  <c r="P19" i="4"/>
  <c r="R19" i="4"/>
  <c r="Q19" i="4"/>
  <c r="C62" i="4"/>
  <c r="C63" i="4" s="1"/>
  <c r="P18" i="4"/>
  <c r="B62" i="4"/>
  <c r="B63" i="4" s="1"/>
  <c r="P21" i="4"/>
  <c r="R21" i="4"/>
  <c r="Q21" i="4"/>
  <c r="E62" i="4"/>
  <c r="E63" i="4" s="1"/>
  <c r="P20" i="4"/>
  <c r="D62" i="4"/>
  <c r="D63" i="4" s="1"/>
  <c r="Q20" i="4"/>
  <c r="R20" i="4"/>
  <c r="P30" i="4"/>
  <c r="B77" i="4"/>
  <c r="B78" i="4" s="1"/>
  <c r="P31" i="4"/>
  <c r="Q31" i="4"/>
  <c r="C77" i="4"/>
  <c r="C78" i="4" s="1"/>
  <c r="R31" i="4"/>
  <c r="P33" i="4"/>
  <c r="E77" i="4"/>
  <c r="E78" i="4" s="1"/>
  <c r="Q33" i="4"/>
  <c r="R33" i="4"/>
  <c r="P32" i="4"/>
  <c r="R32" i="4"/>
  <c r="Q32" i="4"/>
  <c r="D77" i="4"/>
  <c r="D78" i="4" s="1"/>
  <c r="O28" i="4"/>
  <c r="P28" i="4" s="1"/>
  <c r="S28" i="4"/>
  <c r="O27" i="4"/>
  <c r="R27" i="4" s="1"/>
  <c r="S27" i="4"/>
  <c r="O29" i="4"/>
  <c r="R29" i="4" s="1"/>
  <c r="S29" i="4"/>
  <c r="C52" i="4"/>
  <c r="C53" i="4" s="1"/>
  <c r="R11" i="4"/>
  <c r="O13" i="4"/>
  <c r="S13" i="4"/>
  <c r="O12" i="4"/>
  <c r="P12" i="4" s="1"/>
  <c r="S12" i="4"/>
  <c r="P22" i="4"/>
  <c r="B67" i="4"/>
  <c r="B68" i="4" s="1"/>
  <c r="P24" i="4"/>
  <c r="R24" i="4"/>
  <c r="D67" i="4"/>
  <c r="D68" i="4" s="1"/>
  <c r="Q24" i="4"/>
  <c r="P23" i="4"/>
  <c r="R23" i="4"/>
  <c r="C67" i="4"/>
  <c r="C68" i="4" s="1"/>
  <c r="Q23" i="4"/>
  <c r="O25" i="4"/>
  <c r="S25" i="4"/>
  <c r="P10" i="4"/>
  <c r="B52" i="4"/>
  <c r="B53" i="4" s="1"/>
  <c r="P26" i="4"/>
  <c r="B72" i="4"/>
  <c r="B73" i="4" s="1"/>
  <c r="Q29" i="4"/>
  <c r="P11" i="4"/>
  <c r="Q11" i="4"/>
  <c r="Q12" i="4" l="1"/>
  <c r="E72" i="4"/>
  <c r="E73" i="4" s="1"/>
  <c r="D72" i="4"/>
  <c r="D73" i="4" s="1"/>
  <c r="P29" i="4"/>
  <c r="C72" i="4"/>
  <c r="C73" i="4" s="1"/>
  <c r="Q28" i="4"/>
  <c r="Q27" i="4"/>
  <c r="Q13" i="4"/>
  <c r="P27" i="4"/>
  <c r="R28" i="4"/>
  <c r="E52" i="4"/>
  <c r="E53" i="4" s="1"/>
  <c r="R13" i="4"/>
  <c r="P13" i="4"/>
  <c r="D52" i="4"/>
  <c r="D53" i="4" s="1"/>
  <c r="R12" i="4"/>
  <c r="P25" i="4"/>
  <c r="R25" i="4"/>
  <c r="Q25" i="4"/>
  <c r="E67" i="4"/>
  <c r="E68" i="4" s="1"/>
  <c r="C45" i="2"/>
  <c r="O12" i="2" l="1"/>
  <c r="P12" i="2"/>
  <c r="O13" i="2"/>
  <c r="P13" i="2"/>
  <c r="O14" i="2"/>
  <c r="P14" i="2"/>
  <c r="O15" i="2"/>
  <c r="P15" i="2"/>
  <c r="O16" i="2"/>
  <c r="P16" i="2"/>
  <c r="O17" i="2"/>
  <c r="P17" i="2"/>
  <c r="O18" i="2"/>
  <c r="P18" i="2"/>
  <c r="O19" i="2"/>
  <c r="P19" i="2"/>
  <c r="O20" i="2"/>
  <c r="P20" i="2"/>
  <c r="O21" i="2"/>
  <c r="P21" i="2"/>
  <c r="O22" i="2"/>
  <c r="P22" i="2"/>
  <c r="O23" i="2"/>
  <c r="P23" i="2"/>
  <c r="O24" i="2"/>
  <c r="P24" i="2"/>
  <c r="O25" i="2"/>
  <c r="P25" i="2"/>
  <c r="O26" i="2"/>
  <c r="P26" i="2"/>
  <c r="O27" i="2"/>
  <c r="P27" i="2"/>
  <c r="O28" i="2"/>
  <c r="P28" i="2"/>
  <c r="O29" i="2"/>
  <c r="P29" i="2"/>
  <c r="O30" i="2"/>
  <c r="P30" i="2"/>
  <c r="O31" i="2"/>
  <c r="P31" i="2"/>
  <c r="O32" i="2"/>
  <c r="P32" i="2"/>
  <c r="O33" i="2"/>
  <c r="P33" i="2"/>
  <c r="O34" i="2"/>
  <c r="P34" i="2"/>
  <c r="O35" i="2"/>
  <c r="P35" i="2"/>
  <c r="O36" i="2"/>
  <c r="P36" i="2"/>
  <c r="O37" i="2"/>
  <c r="P37" i="2"/>
  <c r="O38" i="2"/>
  <c r="P38" i="2"/>
  <c r="O5" i="2"/>
  <c r="P5" i="2"/>
  <c r="O6" i="2"/>
  <c r="P6" i="2"/>
  <c r="O7" i="2"/>
  <c r="P7" i="2"/>
  <c r="O8" i="2"/>
  <c r="P8" i="2"/>
  <c r="O9" i="2"/>
  <c r="P9" i="2"/>
  <c r="O10" i="2"/>
  <c r="P10" i="2"/>
  <c r="O11" i="2"/>
  <c r="P11" i="2"/>
  <c r="P4" i="2"/>
  <c r="O4" i="2"/>
  <c r="P3" i="2"/>
  <c r="O3" i="2"/>
  <c r="N44" i="2" l="1"/>
  <c r="M44" i="2"/>
  <c r="L44" i="2"/>
  <c r="K44" i="2"/>
  <c r="J44" i="2"/>
  <c r="I44" i="2"/>
  <c r="H44" i="2"/>
  <c r="G44" i="2"/>
  <c r="G45" i="2" s="1"/>
  <c r="F44" i="2"/>
  <c r="E44" i="2"/>
  <c r="D44" i="2"/>
  <c r="C44" i="2"/>
  <c r="J45" i="2" l="1"/>
  <c r="I45" i="2"/>
  <c r="L45" i="2"/>
  <c r="K45" i="2"/>
  <c r="H45" i="2"/>
  <c r="E45" i="2"/>
  <c r="F45" i="2"/>
  <c r="D45" i="2"/>
  <c r="Q3" i="1"/>
  <c r="Q4" i="1"/>
  <c r="Q5" i="1"/>
  <c r="N3" i="1"/>
  <c r="M4" i="1"/>
  <c r="M5" i="1"/>
  <c r="O5" i="1" s="1"/>
  <c r="P5" i="1" s="1"/>
  <c r="M6" i="1"/>
  <c r="M3" i="1"/>
  <c r="O3" i="1" s="1"/>
  <c r="P3" i="1" s="1"/>
  <c r="O4" i="1" l="1"/>
  <c r="P4" i="1" s="1"/>
  <c r="N4" i="1"/>
  <c r="N5" i="1"/>
  <c r="N6" i="1"/>
</calcChain>
</file>

<file path=xl/sharedStrings.xml><?xml version="1.0" encoding="utf-8"?>
<sst xmlns="http://schemas.openxmlformats.org/spreadsheetml/2006/main" count="213" uniqueCount="58">
  <si>
    <t>Nouvelle construction interdite</t>
  </si>
  <si>
    <t>Constructible sous prescription</t>
  </si>
  <si>
    <t>Hors PPRI</t>
  </si>
  <si>
    <t>Total Pop</t>
  </si>
  <si>
    <t>Très fort</t>
  </si>
  <si>
    <t>Fort</t>
  </si>
  <si>
    <t>Modéré</t>
  </si>
  <si>
    <t>Résiduel</t>
  </si>
  <si>
    <t>Indifférencié</t>
  </si>
  <si>
    <t>Hors aléa</t>
  </si>
  <si>
    <t>PAPI Gardons</t>
  </si>
  <si>
    <t>PAPI Vidourle</t>
  </si>
  <si>
    <t>PAPI Vistre</t>
  </si>
  <si>
    <t>Plan Rhône</t>
  </si>
  <si>
    <t>PAPI Hérault</t>
  </si>
  <si>
    <t>PAPI Cèze</t>
  </si>
  <si>
    <t>PAPI Ardèche</t>
  </si>
  <si>
    <t>PAPI Gard Rhodanien (CA Avignon)</t>
  </si>
  <si>
    <t>PAPI Tarn amont</t>
  </si>
  <si>
    <t>Code PAPI</t>
  </si>
  <si>
    <t>Nom PAPI</t>
  </si>
  <si>
    <t>Année</t>
  </si>
  <si>
    <t>Population PPRI</t>
  </si>
  <si>
    <t>Population aléas</t>
  </si>
  <si>
    <t>Pop en ZI</t>
  </si>
  <si>
    <t>Part de pop en ZI</t>
  </si>
  <si>
    <t>Progression pop en ZI</t>
  </si>
  <si>
    <t>Rythme de progression de la pop en ZI</t>
  </si>
  <si>
    <t>Rythme de progression de la pop totale</t>
  </si>
  <si>
    <t>GARDONS</t>
  </si>
  <si>
    <t>VIDOURLE</t>
  </si>
  <si>
    <t>VISTRE</t>
  </si>
  <si>
    <t>PLAN RHONE</t>
  </si>
  <si>
    <t>HERAULT</t>
  </si>
  <si>
    <t>CEZE</t>
  </si>
  <si>
    <t>ARDECHE</t>
  </si>
  <si>
    <t>GARD RHODANIEN</t>
  </si>
  <si>
    <t>TARN AMONT</t>
  </si>
  <si>
    <t>Evolution</t>
  </si>
  <si>
    <t xml:space="preserve"> + 38 932 pers.
soit 5,9 %</t>
  </si>
  <si>
    <t>+ 34 146 pers.
soit 4,9 %</t>
  </si>
  <si>
    <t>+ 12 120 pers.
soit 4,6 %</t>
  </si>
  <si>
    <t>+ 11 894 pers.
Soit 4,3 %</t>
  </si>
  <si>
    <t>+ 12 408 pers.
soit 1,7 %</t>
  </si>
  <si>
    <t>+ 673 pers.
soit 0,2 %</t>
  </si>
  <si>
    <t>GARD</t>
  </si>
  <si>
    <t>Pop. totale</t>
  </si>
  <si>
    <t>Pop. en ZI</t>
  </si>
  <si>
    <t>- 0,5 point</t>
  </si>
  <si>
    <t>-0,2 point</t>
  </si>
  <si>
    <t>-0,6 point</t>
  </si>
  <si>
    <t>+ 85 486 pers.
soit 12,9 %</t>
  </si>
  <si>
    <t>+ 24 687 pers.
soit 9,3 %</t>
  </si>
  <si>
    <t>-1,3 point</t>
  </si>
  <si>
    <t>Evolution totale</t>
  </si>
  <si>
    <t>Part de pop.
en ZI</t>
  </si>
  <si>
    <t xml:space="preserve">PAPI Gard Rhodanien </t>
  </si>
  <si>
    <t>Hors ZI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</si>
</sst>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0">
    <xf numFmtId="0" fontId="0" fillId="0" borderId="0" xfId="0"/>
    <xf numFmtId="0" fontId="0" fillId="0" borderId="1" xfId="0" applyBorder="1" applyAlignment="1">
      <alignment horizontal="center" vertical="center"/>
    </xf>
    <xf numFmtId="3" fontId="0" fillId="0" borderId="1" xfId="0" applyNumberFormat="1" applyBorder="1" applyAlignment="1">
      <alignment horizontal="right" vertical="center"/>
    </xf>
    <xf numFmtId="3" fontId="0" fillId="0" borderId="5" xfId="0" applyNumberFormat="1" applyBorder="1" applyAlignment="1">
      <alignment horizontal="right" vertical="center"/>
    </xf>
    <xf numFmtId="3" fontId="0" fillId="0" borderId="8" xfId="0" applyNumberFormat="1" applyBorder="1" applyAlignment="1">
      <alignment horizontal="right" vertical="center"/>
    </xf>
    <xf numFmtId="3" fontId="0" fillId="0" borderId="9" xfId="0" applyNumberFormat="1" applyBorder="1" applyAlignment="1">
      <alignment horizontal="right" vertical="center"/>
    </xf>
    <xf numFmtId="3" fontId="0" fillId="0" borderId="11" xfId="0" applyNumberFormat="1" applyBorder="1" applyAlignment="1">
      <alignment horizontal="right" vertical="center"/>
    </xf>
    <xf numFmtId="3" fontId="0" fillId="0" borderId="16" xfId="0" applyNumberFormat="1" applyBorder="1" applyAlignment="1">
      <alignment horizontal="right" vertical="center"/>
    </xf>
    <xf numFmtId="3" fontId="0" fillId="0" borderId="17" xfId="0" applyNumberFormat="1" applyBorder="1" applyAlignment="1">
      <alignment horizontal="right" vertical="center"/>
    </xf>
    <xf numFmtId="3" fontId="0" fillId="0" borderId="13" xfId="0" applyNumberFormat="1" applyBorder="1" applyAlignment="1">
      <alignment horizontal="right" vertical="center"/>
    </xf>
    <xf numFmtId="3" fontId="0" fillId="0" borderId="18" xfId="0" applyNumberFormat="1" applyBorder="1" applyAlignment="1">
      <alignment horizontal="right" vertical="center"/>
    </xf>
    <xf numFmtId="3" fontId="0" fillId="0" borderId="19" xfId="0" applyNumberFormat="1" applyBorder="1" applyAlignment="1">
      <alignment horizontal="right" vertical="center"/>
    </xf>
    <xf numFmtId="3" fontId="0" fillId="0" borderId="20" xfId="0" applyNumberFormat="1" applyBorder="1" applyAlignment="1">
      <alignment horizontal="right" vertical="center"/>
    </xf>
    <xf numFmtId="3" fontId="0" fillId="0" borderId="6" xfId="0" applyNumberFormat="1" applyBorder="1" applyAlignment="1">
      <alignment horizontal="right" vertical="center"/>
    </xf>
    <xf numFmtId="3" fontId="0" fillId="0" borderId="7" xfId="0" applyNumberFormat="1" applyBorder="1" applyAlignment="1">
      <alignment horizontal="right" vertical="center"/>
    </xf>
    <xf numFmtId="0" fontId="0" fillId="0" borderId="5" xfId="0" applyBorder="1"/>
    <xf numFmtId="0" fontId="0" fillId="0" borderId="9" xfId="0" applyBorder="1"/>
    <xf numFmtId="0" fontId="0" fillId="0" borderId="20" xfId="0" applyBorder="1"/>
    <xf numFmtId="0" fontId="0" fillId="0" borderId="1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3" fontId="0" fillId="0" borderId="18" xfId="0" applyNumberFormat="1" applyBorder="1"/>
    <xf numFmtId="3" fontId="0" fillId="0" borderId="19" xfId="0" applyNumberFormat="1" applyBorder="1"/>
    <xf numFmtId="3" fontId="0" fillId="0" borderId="20" xfId="0" applyNumberFormat="1" applyBorder="1"/>
    <xf numFmtId="3" fontId="0" fillId="0" borderId="24" xfId="0" applyNumberFormat="1" applyBorder="1"/>
    <xf numFmtId="3" fontId="0" fillId="0" borderId="6" xfId="0" applyNumberFormat="1" applyBorder="1"/>
    <xf numFmtId="3" fontId="0" fillId="0" borderId="1" xfId="0" applyNumberFormat="1" applyBorder="1"/>
    <xf numFmtId="3" fontId="0" fillId="0" borderId="5" xfId="0" applyNumberFormat="1" applyBorder="1"/>
    <xf numFmtId="3" fontId="0" fillId="0" borderId="17" xfId="0" applyNumberFormat="1" applyBorder="1"/>
    <xf numFmtId="3" fontId="0" fillId="0" borderId="7" xfId="0" applyNumberFormat="1" applyBorder="1"/>
    <xf numFmtId="3" fontId="0" fillId="0" borderId="8" xfId="0" applyNumberFormat="1" applyBorder="1"/>
    <xf numFmtId="3" fontId="0" fillId="0" borderId="9" xfId="0" applyNumberFormat="1" applyBorder="1"/>
    <xf numFmtId="3" fontId="0" fillId="0" borderId="13" xfId="0" applyNumberFormat="1" applyBorder="1"/>
    <xf numFmtId="0" fontId="0" fillId="0" borderId="22" xfId="0" applyBorder="1" applyAlignment="1">
      <alignment horizontal="center" vertical="center"/>
    </xf>
    <xf numFmtId="0" fontId="0" fillId="0" borderId="23" xfId="0" applyBorder="1"/>
    <xf numFmtId="0" fontId="0" fillId="0" borderId="19" xfId="0" applyBorder="1" applyAlignment="1">
      <alignment horizontal="center" vertical="center"/>
    </xf>
    <xf numFmtId="0" fontId="0" fillId="0" borderId="3" xfId="0" applyBorder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0" fontId="0" fillId="0" borderId="25" xfId="0" applyBorder="1" applyAlignment="1">
      <alignment vertical="center" wrapText="1"/>
    </xf>
    <xf numFmtId="0" fontId="0" fillId="0" borderId="26" xfId="0" applyBorder="1" applyAlignment="1">
      <alignment vertical="center" wrapText="1"/>
    </xf>
    <xf numFmtId="0" fontId="0" fillId="0" borderId="27" xfId="0" applyBorder="1" applyAlignment="1">
      <alignment vertical="center" wrapText="1"/>
    </xf>
    <xf numFmtId="0" fontId="0" fillId="0" borderId="28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3" fontId="0" fillId="0" borderId="0" xfId="0" applyNumberFormat="1"/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0" fontId="0" fillId="0" borderId="41" xfId="0" applyBorder="1" applyAlignment="1">
      <alignment horizontal="center" vertical="center" wrapText="1"/>
    </xf>
    <xf numFmtId="3" fontId="0" fillId="0" borderId="42" xfId="0" applyNumberFormat="1" applyBorder="1" applyAlignment="1">
      <alignment horizontal="right" vertical="center"/>
    </xf>
    <xf numFmtId="3" fontId="0" fillId="0" borderId="43" xfId="0" applyNumberFormat="1" applyBorder="1" applyAlignment="1">
      <alignment horizontal="right" vertical="center"/>
    </xf>
    <xf numFmtId="3" fontId="0" fillId="0" borderId="44" xfId="0" applyNumberFormat="1" applyBorder="1" applyAlignment="1">
      <alignment horizontal="right" vertical="center"/>
    </xf>
    <xf numFmtId="10" fontId="0" fillId="0" borderId="1" xfId="0" applyNumberFormat="1" applyBorder="1"/>
    <xf numFmtId="164" fontId="0" fillId="0" borderId="1" xfId="1" applyNumberFormat="1" applyFont="1" applyBorder="1"/>
    <xf numFmtId="164" fontId="0" fillId="0" borderId="5" xfId="1" applyNumberFormat="1" applyFont="1" applyBorder="1"/>
    <xf numFmtId="10" fontId="0" fillId="0" borderId="8" xfId="0" applyNumberFormat="1" applyBorder="1"/>
    <xf numFmtId="0" fontId="0" fillId="0" borderId="8" xfId="0" applyBorder="1"/>
    <xf numFmtId="3" fontId="0" fillId="0" borderId="10" xfId="0" applyNumberFormat="1" applyBorder="1"/>
    <xf numFmtId="10" fontId="0" fillId="0" borderId="11" xfId="0" applyNumberFormat="1" applyBorder="1"/>
    <xf numFmtId="3" fontId="0" fillId="0" borderId="11" xfId="0" applyNumberFormat="1" applyBorder="1"/>
    <xf numFmtId="164" fontId="0" fillId="0" borderId="11" xfId="1" applyNumberFormat="1" applyFont="1" applyBorder="1"/>
    <xf numFmtId="164" fontId="0" fillId="0" borderId="12" xfId="1" applyNumberFormat="1" applyFont="1" applyBorder="1"/>
    <xf numFmtId="0" fontId="0" fillId="0" borderId="28" xfId="0" applyFill="1" applyBorder="1" applyAlignment="1">
      <alignment horizontal="center" vertical="center" wrapText="1"/>
    </xf>
    <xf numFmtId="0" fontId="0" fillId="0" borderId="29" xfId="0" applyFill="1" applyBorder="1" applyAlignment="1">
      <alignment horizontal="center" vertical="center" wrapText="1"/>
    </xf>
    <xf numFmtId="0" fontId="0" fillId="0" borderId="30" xfId="0" applyFill="1" applyBorder="1" applyAlignment="1">
      <alignment horizontal="center" vertical="center" wrapText="1"/>
    </xf>
    <xf numFmtId="3" fontId="0" fillId="0" borderId="16" xfId="0" applyNumberFormat="1" applyBorder="1"/>
    <xf numFmtId="10" fontId="0" fillId="0" borderId="20" xfId="0" applyNumberFormat="1" applyBorder="1"/>
    <xf numFmtId="10" fontId="0" fillId="0" borderId="5" xfId="0" applyNumberFormat="1" applyBorder="1"/>
    <xf numFmtId="10" fontId="0" fillId="0" borderId="9" xfId="0" applyNumberFormat="1" applyBorder="1"/>
    <xf numFmtId="0" fontId="0" fillId="0" borderId="0" xfId="0" applyBorder="1"/>
    <xf numFmtId="0" fontId="0" fillId="0" borderId="0" xfId="0" applyFill="1" applyBorder="1" applyAlignment="1">
      <alignment horizontal="center" vertical="center" wrapText="1"/>
    </xf>
    <xf numFmtId="3" fontId="0" fillId="0" borderId="0" xfId="0" applyNumberFormat="1" applyBorder="1"/>
    <xf numFmtId="9" fontId="0" fillId="0" borderId="1" xfId="0" applyNumberFormat="1" applyBorder="1"/>
    <xf numFmtId="164" fontId="0" fillId="0" borderId="0" xfId="1" applyNumberFormat="1" applyFont="1" applyBorder="1"/>
    <xf numFmtId="0" fontId="0" fillId="0" borderId="0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64" fontId="0" fillId="0" borderId="0" xfId="0" applyNumberFormat="1" applyBorder="1"/>
    <xf numFmtId="1" fontId="0" fillId="0" borderId="0" xfId="0" applyNumberFormat="1"/>
    <xf numFmtId="164" fontId="0" fillId="0" borderId="0" xfId="0" applyNumberFormat="1"/>
    <xf numFmtId="3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3" fontId="0" fillId="0" borderId="0" xfId="0" applyNumberFormat="1" applyBorder="1" applyAlignment="1">
      <alignment horizontal="right" vertical="center"/>
    </xf>
    <xf numFmtId="1" fontId="0" fillId="0" borderId="0" xfId="0" applyNumberFormat="1" applyBorder="1"/>
    <xf numFmtId="49" fontId="0" fillId="0" borderId="1" xfId="0" applyNumberFormat="1" applyBorder="1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49" fontId="0" fillId="0" borderId="43" xfId="0" applyNumberFormat="1" applyBorder="1" applyAlignment="1">
      <alignment horizontal="center" vertical="center"/>
    </xf>
    <xf numFmtId="49" fontId="0" fillId="0" borderId="43" xfId="0" applyNumberForma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3" fillId="0" borderId="1" xfId="0" applyFont="1" applyBorder="1"/>
    <xf numFmtId="3" fontId="0" fillId="0" borderId="45" xfId="0" applyNumberFormat="1" applyBorder="1"/>
    <xf numFmtId="3" fontId="0" fillId="0" borderId="46" xfId="0" applyNumberFormat="1" applyBorder="1"/>
    <xf numFmtId="0" fontId="3" fillId="0" borderId="0" xfId="0" applyFont="1" applyBorder="1"/>
    <xf numFmtId="0" fontId="3" fillId="0" borderId="1" xfId="0" applyFont="1" applyBorder="1" applyAlignment="1">
      <alignment horizontal="center" vertical="center"/>
    </xf>
    <xf numFmtId="0" fontId="3" fillId="0" borderId="0" xfId="0" applyFont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0" fillId="2" borderId="4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3" fontId="0" fillId="2" borderId="6" xfId="0" applyNumberFormat="1" applyFill="1" applyBorder="1"/>
    <xf numFmtId="3" fontId="0" fillId="2" borderId="1" xfId="0" applyNumberFormat="1" applyFill="1" applyBorder="1"/>
    <xf numFmtId="3" fontId="0" fillId="2" borderId="5" xfId="0" applyNumberFormat="1" applyFill="1" applyBorder="1"/>
    <xf numFmtId="3" fontId="0" fillId="2" borderId="17" xfId="0" applyNumberFormat="1" applyFill="1" applyBorder="1"/>
    <xf numFmtId="10" fontId="0" fillId="2" borderId="5" xfId="0" applyNumberFormat="1" applyFill="1" applyBorder="1"/>
    <xf numFmtId="0" fontId="0" fillId="2" borderId="0" xfId="0" applyFill="1"/>
    <xf numFmtId="0" fontId="0" fillId="0" borderId="12" xfId="0" applyBorder="1"/>
    <xf numFmtId="0" fontId="3" fillId="0" borderId="20" xfId="0" applyFont="1" applyBorder="1"/>
    <xf numFmtId="0" fontId="3" fillId="0" borderId="5" xfId="0" applyFont="1" applyBorder="1"/>
    <xf numFmtId="0" fontId="3" fillId="2" borderId="5" xfId="0" applyFont="1" applyFill="1" applyBorder="1"/>
    <xf numFmtId="0" fontId="3" fillId="0" borderId="9" xfId="0" applyFont="1" applyBorder="1"/>
    <xf numFmtId="0" fontId="0" fillId="2" borderId="18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40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9" fontId="0" fillId="0" borderId="0" xfId="0" applyNumberFormat="1" applyBorder="1"/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3" fontId="0" fillId="2" borderId="1" xfId="0" applyNumberForma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3" fontId="0" fillId="3" borderId="1" xfId="0" applyNumberFormat="1" applyFill="1" applyBorder="1"/>
    <xf numFmtId="3" fontId="0" fillId="3" borderId="43" xfId="0" applyNumberFormat="1" applyFill="1" applyBorder="1"/>
    <xf numFmtId="3" fontId="3" fillId="3" borderId="1" xfId="0" applyNumberFormat="1" applyFont="1" applyFill="1" applyBorder="1"/>
    <xf numFmtId="3" fontId="3" fillId="3" borderId="43" xfId="0" applyNumberFormat="1" applyFont="1" applyFill="1" applyBorder="1"/>
    <xf numFmtId="0" fontId="0" fillId="0" borderId="1" xfId="0" applyFill="1" applyBorder="1" applyAlignment="1">
      <alignment horizontal="center" vertical="center" wrapText="1"/>
    </xf>
    <xf numFmtId="164" fontId="0" fillId="3" borderId="1" xfId="0" applyNumberFormat="1" applyFill="1" applyBorder="1"/>
    <xf numFmtId="164" fontId="0" fillId="3" borderId="1" xfId="1" applyNumberFormat="1" applyFont="1" applyFill="1" applyBorder="1"/>
    <xf numFmtId="0" fontId="2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3" fontId="0" fillId="3" borderId="1" xfId="0" applyNumberFormat="1" applyFill="1" applyBorder="1" applyAlignment="1">
      <alignment horizontal="center"/>
    </xf>
    <xf numFmtId="3" fontId="3" fillId="3" borderId="1" xfId="0" applyNumberFormat="1" applyFont="1" applyFill="1" applyBorder="1" applyAlignment="1">
      <alignment horizontal="center"/>
    </xf>
    <xf numFmtId="164" fontId="0" fillId="3" borderId="1" xfId="0" applyNumberFormat="1" applyFill="1" applyBorder="1" applyAlignment="1">
      <alignment horizontal="center"/>
    </xf>
    <xf numFmtId="164" fontId="0" fillId="4" borderId="1" xfId="1" applyNumberFormat="1" applyFont="1" applyFill="1" applyBorder="1"/>
    <xf numFmtId="0" fontId="3" fillId="2" borderId="1" xfId="0" applyFont="1" applyFill="1" applyBorder="1"/>
    <xf numFmtId="164" fontId="0" fillId="2" borderId="1" xfId="0" applyNumberFormat="1" applyFill="1" applyBorder="1"/>
    <xf numFmtId="0" fontId="3" fillId="3" borderId="43" xfId="0" applyFont="1" applyFill="1" applyBorder="1"/>
    <xf numFmtId="0" fontId="0" fillId="3" borderId="6" xfId="0" applyFill="1" applyBorder="1" applyAlignment="1">
      <alignment horizontal="center" vertical="center"/>
    </xf>
    <xf numFmtId="0" fontId="0" fillId="3" borderId="21" xfId="0" applyFill="1" applyBorder="1" applyAlignment="1">
      <alignment horizontal="center" vertical="center"/>
    </xf>
    <xf numFmtId="0" fontId="3" fillId="3" borderId="1" xfId="0" applyFont="1" applyFill="1" applyBorder="1"/>
    <xf numFmtId="164" fontId="3" fillId="3" borderId="1" xfId="1" applyNumberFormat="1" applyFont="1" applyFill="1" applyBorder="1"/>
    <xf numFmtId="3" fontId="0" fillId="4" borderId="1" xfId="0" applyNumberFormat="1" applyFill="1" applyBorder="1"/>
    <xf numFmtId="0" fontId="0" fillId="5" borderId="1" xfId="0" applyFill="1" applyBorder="1" applyAlignment="1">
      <alignment horizontal="center" vertical="center" wrapText="1"/>
    </xf>
    <xf numFmtId="3" fontId="0" fillId="2" borderId="0" xfId="0" applyNumberFormat="1" applyFill="1" applyBorder="1"/>
    <xf numFmtId="164" fontId="0" fillId="2" borderId="0" xfId="1" applyNumberFormat="1" applyFont="1" applyFill="1" applyBorder="1"/>
    <xf numFmtId="0" fontId="0" fillId="0" borderId="34" xfId="0" applyFill="1" applyBorder="1" applyAlignment="1">
      <alignment horizontal="center" vertical="center" wrapText="1"/>
    </xf>
    <xf numFmtId="3" fontId="0" fillId="0" borderId="47" xfId="0" applyNumberFormat="1" applyBorder="1"/>
    <xf numFmtId="3" fontId="0" fillId="0" borderId="48" xfId="0" applyNumberFormat="1" applyBorder="1"/>
    <xf numFmtId="3" fontId="0" fillId="2" borderId="48" xfId="0" applyNumberFormat="1" applyFill="1" applyBorder="1"/>
    <xf numFmtId="3" fontId="0" fillId="0" borderId="49" xfId="0" applyNumberFormat="1" applyBorder="1"/>
    <xf numFmtId="0" fontId="0" fillId="0" borderId="2" xfId="0" applyFill="1" applyBorder="1" applyAlignment="1">
      <alignment horizontal="center" vertical="center" wrapText="1"/>
    </xf>
    <xf numFmtId="10" fontId="0" fillId="0" borderId="50" xfId="0" applyNumberFormat="1" applyBorder="1"/>
    <xf numFmtId="10" fontId="0" fillId="0" borderId="51" xfId="0" applyNumberFormat="1" applyBorder="1"/>
    <xf numFmtId="10" fontId="0" fillId="2" borderId="51" xfId="0" applyNumberFormat="1" applyFill="1" applyBorder="1"/>
    <xf numFmtId="10" fontId="0" fillId="0" borderId="52" xfId="0" applyNumberFormat="1" applyBorder="1"/>
    <xf numFmtId="0" fontId="0" fillId="0" borderId="0" xfId="0" applyAlignment="1">
      <alignment horizontal="left"/>
    </xf>
    <xf numFmtId="0" fontId="0" fillId="0" borderId="34" xfId="0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36" xfId="0" applyBorder="1" applyAlignment="1">
      <alignment horizontal="center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b="1"/>
              <a:t>Population en ZI par niveaux d'aléas</a:t>
            </a:r>
            <a:r>
              <a:rPr lang="fr-FR" b="1" baseline="0"/>
              <a:t> sur 4 millésimes</a:t>
            </a:r>
            <a:endParaRPr lang="fr-FR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GARD!$F$2</c:f>
              <c:strCache>
                <c:ptCount val="1"/>
                <c:pt idx="0">
                  <c:v>Très fort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GARD!$A$3:$A$6</c:f>
              <c:numCache>
                <c:formatCode>General</c:formatCode>
                <c:ptCount val="4"/>
                <c:pt idx="0">
                  <c:v>2022</c:v>
                </c:pt>
                <c:pt idx="1">
                  <c:v>2017</c:v>
                </c:pt>
                <c:pt idx="2">
                  <c:v>2012</c:v>
                </c:pt>
                <c:pt idx="3">
                  <c:v>2007</c:v>
                </c:pt>
              </c:numCache>
            </c:numRef>
          </c:cat>
          <c:val>
            <c:numRef>
              <c:f>GARD!$F$3:$F$6</c:f>
              <c:numCache>
                <c:formatCode>#,##0</c:formatCode>
                <c:ptCount val="4"/>
                <c:pt idx="0">
                  <c:v>20182.771656614103</c:v>
                </c:pt>
                <c:pt idx="1">
                  <c:v>20727.711418734099</c:v>
                </c:pt>
                <c:pt idx="2">
                  <c:v>19308.710951415898</c:v>
                </c:pt>
                <c:pt idx="3">
                  <c:v>18841.763504000002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88-4B32-AB3E-ABC7D3774214}"/>
            </c:ext>
          </c:extLst>
        </c:ser>
        <c:ser>
          <c:idx val="1"/>
          <c:order val="1"/>
          <c:tx>
            <c:strRef>
              <c:f>GARD!$G$2</c:f>
              <c:strCache>
                <c:ptCount val="1"/>
                <c:pt idx="0">
                  <c:v>Fort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GARD!$A$3:$A$6</c:f>
              <c:numCache>
                <c:formatCode>General</c:formatCode>
                <c:ptCount val="4"/>
                <c:pt idx="0">
                  <c:v>2022</c:v>
                </c:pt>
                <c:pt idx="1">
                  <c:v>2017</c:v>
                </c:pt>
                <c:pt idx="2">
                  <c:v>2012</c:v>
                </c:pt>
                <c:pt idx="3">
                  <c:v>2007</c:v>
                </c:pt>
              </c:numCache>
            </c:numRef>
          </c:cat>
          <c:val>
            <c:numRef>
              <c:f>GARD!$G$3:$G$6</c:f>
              <c:numCache>
                <c:formatCode>#,##0</c:formatCode>
                <c:ptCount val="4"/>
                <c:pt idx="0">
                  <c:v>95593.122542181067</c:v>
                </c:pt>
                <c:pt idx="1">
                  <c:v>95154.963231001268</c:v>
                </c:pt>
                <c:pt idx="2">
                  <c:v>90675.62361394988</c:v>
                </c:pt>
                <c:pt idx="3">
                  <c:v>85514.829235999918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C88-4B32-AB3E-ABC7D3774214}"/>
            </c:ext>
          </c:extLst>
        </c:ser>
        <c:ser>
          <c:idx val="2"/>
          <c:order val="2"/>
          <c:tx>
            <c:strRef>
              <c:f>GARD!$H$2</c:f>
              <c:strCache>
                <c:ptCount val="1"/>
                <c:pt idx="0">
                  <c:v>Modéré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GARD!$A$3:$A$6</c:f>
              <c:numCache>
                <c:formatCode>General</c:formatCode>
                <c:ptCount val="4"/>
                <c:pt idx="0">
                  <c:v>2022</c:v>
                </c:pt>
                <c:pt idx="1">
                  <c:v>2017</c:v>
                </c:pt>
                <c:pt idx="2">
                  <c:v>2012</c:v>
                </c:pt>
                <c:pt idx="3">
                  <c:v>2007</c:v>
                </c:pt>
              </c:numCache>
            </c:numRef>
          </c:cat>
          <c:val>
            <c:numRef>
              <c:f>GARD!$H$3:$H$6</c:f>
              <c:numCache>
                <c:formatCode>#,##0</c:formatCode>
                <c:ptCount val="4"/>
                <c:pt idx="0">
                  <c:v>87837.106905593653</c:v>
                </c:pt>
                <c:pt idx="1">
                  <c:v>86823.039211772892</c:v>
                </c:pt>
                <c:pt idx="2">
                  <c:v>83611.745654520346</c:v>
                </c:pt>
                <c:pt idx="3">
                  <c:v>80402.836182000086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C88-4B32-AB3E-ABC7D3774214}"/>
            </c:ext>
          </c:extLst>
        </c:ser>
        <c:ser>
          <c:idx val="3"/>
          <c:order val="3"/>
          <c:tx>
            <c:strRef>
              <c:f>GARD!$I$2</c:f>
              <c:strCache>
                <c:ptCount val="1"/>
                <c:pt idx="0">
                  <c:v>Résiduel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GARD!$A$3:$A$6</c:f>
              <c:numCache>
                <c:formatCode>General</c:formatCode>
                <c:ptCount val="4"/>
                <c:pt idx="0">
                  <c:v>2022</c:v>
                </c:pt>
                <c:pt idx="1">
                  <c:v>2017</c:v>
                </c:pt>
                <c:pt idx="2">
                  <c:v>2012</c:v>
                </c:pt>
                <c:pt idx="3">
                  <c:v>2007</c:v>
                </c:pt>
              </c:numCache>
            </c:numRef>
          </c:cat>
          <c:val>
            <c:numRef>
              <c:f>GARD!$I$3:$I$6</c:f>
              <c:numCache>
                <c:formatCode>#,##0</c:formatCode>
                <c:ptCount val="4"/>
                <c:pt idx="0">
                  <c:v>60882.910626922567</c:v>
                </c:pt>
                <c:pt idx="1">
                  <c:v>60986.480607042577</c:v>
                </c:pt>
                <c:pt idx="2">
                  <c:v>58612.641116408748</c:v>
                </c:pt>
                <c:pt idx="3">
                  <c:v>56937.266601000032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C88-4B32-AB3E-ABC7D3774214}"/>
            </c:ext>
          </c:extLst>
        </c:ser>
        <c:ser>
          <c:idx val="4"/>
          <c:order val="4"/>
          <c:tx>
            <c:strRef>
              <c:f>GARD!$J$2</c:f>
              <c:strCache>
                <c:ptCount val="1"/>
                <c:pt idx="0">
                  <c:v>Indifférencié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GARD!$A$3:$A$6</c:f>
              <c:numCache>
                <c:formatCode>General</c:formatCode>
                <c:ptCount val="4"/>
                <c:pt idx="0">
                  <c:v>2022</c:v>
                </c:pt>
                <c:pt idx="1">
                  <c:v>2017</c:v>
                </c:pt>
                <c:pt idx="2">
                  <c:v>2012</c:v>
                </c:pt>
                <c:pt idx="3">
                  <c:v>2007</c:v>
                </c:pt>
              </c:numCache>
            </c:numRef>
          </c:cat>
          <c:val>
            <c:numRef>
              <c:f>GARD!$J$3:$J$6</c:f>
              <c:numCache>
                <c:formatCode>#,##0</c:formatCode>
                <c:ptCount val="4"/>
                <c:pt idx="0">
                  <c:v>26235.941244521524</c:v>
                </c:pt>
                <c:pt idx="1">
                  <c:v>26366.532710314936</c:v>
                </c:pt>
                <c:pt idx="2">
                  <c:v>25956.305802683826</c:v>
                </c:pt>
                <c:pt idx="3">
                  <c:v>24348.183377000136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C88-4B32-AB3E-ABC7D37742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83555519"/>
        <c:axId val="1504267391"/>
      </c:barChart>
      <c:catAx>
        <c:axId val="1483555519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504267391"/>
        <c:crosses val="autoZero"/>
        <c:auto val="1"/>
        <c:lblAlgn val="ctr"/>
        <c:lblOffset val="100"/>
        <c:noMultiLvlLbl val="0"/>
      </c:catAx>
      <c:valAx>
        <c:axId val="1504267391"/>
        <c:scaling>
          <c:orientation val="minMax"/>
          <c:max val="300000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48355551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1400"/>
              <a:t>Population en ZI par niveaux d'aléas sur 4 millésimes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GARD!$F$2</c:f>
              <c:strCache>
                <c:ptCount val="1"/>
                <c:pt idx="0">
                  <c:v>Très fort</c:v>
                </c:pt>
              </c:strCache>
            </c:strRef>
          </c:tx>
          <c:spPr>
            <a:ln w="31750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rgbClr val="C00000"/>
              </a:solidFill>
              <a:ln>
                <a:noFill/>
              </a:ln>
              <a:effectLst/>
            </c:spPr>
          </c:marker>
          <c:dLbls>
            <c:dLbl>
              <c:idx val="3"/>
              <c:layout>
                <c:manualLayout>
                  <c:x val="-6.7909319158682729E-2"/>
                  <c:y val="1.568627450980392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9B6D-42B5-A68A-003DDCD0A12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GARD!$A$3:$A$6</c:f>
              <c:numCache>
                <c:formatCode>General</c:formatCode>
                <c:ptCount val="4"/>
                <c:pt idx="0">
                  <c:v>2022</c:v>
                </c:pt>
                <c:pt idx="1">
                  <c:v>2017</c:v>
                </c:pt>
                <c:pt idx="2">
                  <c:v>2012</c:v>
                </c:pt>
                <c:pt idx="3">
                  <c:v>2007</c:v>
                </c:pt>
              </c:numCache>
            </c:numRef>
          </c:cat>
          <c:val>
            <c:numRef>
              <c:f>GARD!$F$3:$F$6</c:f>
              <c:numCache>
                <c:formatCode>#,##0</c:formatCode>
                <c:ptCount val="4"/>
                <c:pt idx="0">
                  <c:v>20182.771656614103</c:v>
                </c:pt>
                <c:pt idx="1">
                  <c:v>20727.711418734099</c:v>
                </c:pt>
                <c:pt idx="2">
                  <c:v>19308.710951415898</c:v>
                </c:pt>
                <c:pt idx="3">
                  <c:v>18841.763504000002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6D-42B5-A68A-003DDCD0A122}"/>
            </c:ext>
          </c:extLst>
        </c:ser>
        <c:ser>
          <c:idx val="1"/>
          <c:order val="1"/>
          <c:tx>
            <c:strRef>
              <c:f>GARD!$G$2</c:f>
              <c:strCache>
                <c:ptCount val="1"/>
                <c:pt idx="0">
                  <c:v>Fort</c:v>
                </c:pt>
              </c:strCache>
            </c:strRef>
          </c:tx>
          <c:spPr>
            <a:ln w="31750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rgbClr val="FF0000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GARD!$A$3:$A$6</c:f>
              <c:numCache>
                <c:formatCode>General</c:formatCode>
                <c:ptCount val="4"/>
                <c:pt idx="0">
                  <c:v>2022</c:v>
                </c:pt>
                <c:pt idx="1">
                  <c:v>2017</c:v>
                </c:pt>
                <c:pt idx="2">
                  <c:v>2012</c:v>
                </c:pt>
                <c:pt idx="3">
                  <c:v>2007</c:v>
                </c:pt>
              </c:numCache>
            </c:numRef>
          </c:cat>
          <c:val>
            <c:numRef>
              <c:f>GARD!$G$3:$G$6</c:f>
              <c:numCache>
                <c:formatCode>#,##0</c:formatCode>
                <c:ptCount val="4"/>
                <c:pt idx="0">
                  <c:v>95593.122542181067</c:v>
                </c:pt>
                <c:pt idx="1">
                  <c:v>95154.963231001268</c:v>
                </c:pt>
                <c:pt idx="2">
                  <c:v>90675.62361394988</c:v>
                </c:pt>
                <c:pt idx="3">
                  <c:v>85514.829235999918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6D-42B5-A68A-003DDCD0A122}"/>
            </c:ext>
          </c:extLst>
        </c:ser>
        <c:ser>
          <c:idx val="2"/>
          <c:order val="2"/>
          <c:tx>
            <c:strRef>
              <c:f>GARD!$H$2</c:f>
              <c:strCache>
                <c:ptCount val="1"/>
                <c:pt idx="0">
                  <c:v>Modéré</c:v>
                </c:pt>
              </c:strCache>
            </c:strRef>
          </c:tx>
          <c:spPr>
            <a:ln w="31750" cap="rnd">
              <a:solidFill>
                <a:srgbClr val="FFC000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rgbClr val="FFC000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GARD!$A$3:$A$6</c:f>
              <c:numCache>
                <c:formatCode>General</c:formatCode>
                <c:ptCount val="4"/>
                <c:pt idx="0">
                  <c:v>2022</c:v>
                </c:pt>
                <c:pt idx="1">
                  <c:v>2017</c:v>
                </c:pt>
                <c:pt idx="2">
                  <c:v>2012</c:v>
                </c:pt>
                <c:pt idx="3">
                  <c:v>2007</c:v>
                </c:pt>
              </c:numCache>
            </c:numRef>
          </c:cat>
          <c:val>
            <c:numRef>
              <c:f>GARD!$H$3:$H$6</c:f>
              <c:numCache>
                <c:formatCode>#,##0</c:formatCode>
                <c:ptCount val="4"/>
                <c:pt idx="0">
                  <c:v>87837.106905593653</c:v>
                </c:pt>
                <c:pt idx="1">
                  <c:v>86823.039211772892</c:v>
                </c:pt>
                <c:pt idx="2">
                  <c:v>83611.745654520346</c:v>
                </c:pt>
                <c:pt idx="3">
                  <c:v>80402.836182000086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B6D-42B5-A68A-003DDCD0A122}"/>
            </c:ext>
          </c:extLst>
        </c:ser>
        <c:ser>
          <c:idx val="3"/>
          <c:order val="3"/>
          <c:tx>
            <c:strRef>
              <c:f>GARD!$I$2</c:f>
              <c:strCache>
                <c:ptCount val="1"/>
                <c:pt idx="0">
                  <c:v>Résiduel</c:v>
                </c:pt>
              </c:strCache>
            </c:strRef>
          </c:tx>
          <c:spPr>
            <a:ln w="31750" cap="rnd">
              <a:solidFill>
                <a:srgbClr val="92D050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rgbClr val="92D050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GARD!$A$3:$A$6</c:f>
              <c:numCache>
                <c:formatCode>General</c:formatCode>
                <c:ptCount val="4"/>
                <c:pt idx="0">
                  <c:v>2022</c:v>
                </c:pt>
                <c:pt idx="1">
                  <c:v>2017</c:v>
                </c:pt>
                <c:pt idx="2">
                  <c:v>2012</c:v>
                </c:pt>
                <c:pt idx="3">
                  <c:v>2007</c:v>
                </c:pt>
              </c:numCache>
            </c:numRef>
          </c:cat>
          <c:val>
            <c:numRef>
              <c:f>GARD!$I$3:$I$6</c:f>
              <c:numCache>
                <c:formatCode>#,##0</c:formatCode>
                <c:ptCount val="4"/>
                <c:pt idx="0">
                  <c:v>60882.910626922567</c:v>
                </c:pt>
                <c:pt idx="1">
                  <c:v>60986.480607042577</c:v>
                </c:pt>
                <c:pt idx="2">
                  <c:v>58612.641116408748</c:v>
                </c:pt>
                <c:pt idx="3">
                  <c:v>56937.266601000032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B6D-42B5-A68A-003DDCD0A122}"/>
            </c:ext>
          </c:extLst>
        </c:ser>
        <c:ser>
          <c:idx val="4"/>
          <c:order val="4"/>
          <c:tx>
            <c:strRef>
              <c:f>GARD!$J$2</c:f>
              <c:strCache>
                <c:ptCount val="1"/>
                <c:pt idx="0">
                  <c:v>Indifférencié</c:v>
                </c:pt>
              </c:strCache>
            </c:strRef>
          </c:tx>
          <c:spPr>
            <a:ln w="31750" cap="rnd">
              <a:solidFill>
                <a:srgbClr val="00B0F0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rgbClr val="00B0F0"/>
              </a:solidFill>
              <a:ln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6.7909319158682827E-2"/>
                  <c:y val="-1.568627450980392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B6D-42B5-A68A-003DDCD0A122}"/>
                </c:ext>
              </c:extLst>
            </c:dLbl>
            <c:dLbl>
              <c:idx val="1"/>
              <c:layout>
                <c:manualLayout>
                  <c:x val="-6.7909319158682729E-2"/>
                  <c:y val="-1.176470588235294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B6D-42B5-A68A-003DDCD0A122}"/>
                </c:ext>
              </c:extLst>
            </c:dLbl>
            <c:dLbl>
              <c:idx val="2"/>
              <c:layout>
                <c:manualLayout>
                  <c:x val="-6.7909319158682729E-2"/>
                  <c:y val="-1.176470588235294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B6D-42B5-A68A-003DDCD0A122}"/>
                </c:ext>
              </c:extLst>
            </c:dLbl>
            <c:dLbl>
              <c:idx val="3"/>
              <c:layout>
                <c:manualLayout>
                  <c:x val="-6.5386455959251188E-2"/>
                  <c:y val="-1.960784313725490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B6D-42B5-A68A-003DDCD0A12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GARD!$A$3:$A$6</c:f>
              <c:numCache>
                <c:formatCode>General</c:formatCode>
                <c:ptCount val="4"/>
                <c:pt idx="0">
                  <c:v>2022</c:v>
                </c:pt>
                <c:pt idx="1">
                  <c:v>2017</c:v>
                </c:pt>
                <c:pt idx="2">
                  <c:v>2012</c:v>
                </c:pt>
                <c:pt idx="3">
                  <c:v>2007</c:v>
                </c:pt>
              </c:numCache>
            </c:numRef>
          </c:cat>
          <c:val>
            <c:numRef>
              <c:f>GARD!$J$3:$J$6</c:f>
              <c:numCache>
                <c:formatCode>#,##0</c:formatCode>
                <c:ptCount val="4"/>
                <c:pt idx="0">
                  <c:v>26235.941244521524</c:v>
                </c:pt>
                <c:pt idx="1">
                  <c:v>26366.532710314936</c:v>
                </c:pt>
                <c:pt idx="2">
                  <c:v>25956.305802683826</c:v>
                </c:pt>
                <c:pt idx="3">
                  <c:v>24348.183377000136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B6D-42B5-A68A-003DDCD0A1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3555519"/>
        <c:axId val="1504267391"/>
      </c:lineChart>
      <c:catAx>
        <c:axId val="1483555519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504267391"/>
        <c:crosses val="autoZero"/>
        <c:auto val="0"/>
        <c:lblAlgn val="ctr"/>
        <c:lblOffset val="100"/>
        <c:noMultiLvlLbl val="0"/>
      </c:catAx>
      <c:valAx>
        <c:axId val="1504267391"/>
        <c:scaling>
          <c:orientation val="minMax"/>
          <c:max val="120000"/>
          <c:min val="0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483555519"/>
        <c:crosses val="max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ysClr val="windowText" lastClr="000000"/>
                </a:solidFill>
              </a:rPr>
              <a:t>Répartition de la population en zone inondable par niveau d'aléa et par PAPI en 2022</a:t>
            </a:r>
          </a:p>
          <a:p>
            <a:pPr>
              <a:defRPr b="1">
                <a:solidFill>
                  <a:sysClr val="windowText" lastClr="000000"/>
                </a:solidFill>
              </a:defRPr>
            </a:pPr>
            <a:r>
              <a:rPr lang="en-US" b="1">
                <a:solidFill>
                  <a:sysClr val="windowText" lastClr="000000"/>
                </a:solidFill>
              </a:rPr>
              <a:t>(nombre d'habitants)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percentStacked"/>
        <c:varyColors val="0"/>
        <c:ser>
          <c:idx val="0"/>
          <c:order val="0"/>
          <c:tx>
            <c:strRef>
              <c:f>PAPI_BV!$D$75</c:f>
              <c:strCache>
                <c:ptCount val="1"/>
                <c:pt idx="0">
                  <c:v>Très fort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PAPI_BV!$C$76:$C$84</c:f>
              <c:strCache>
                <c:ptCount val="9"/>
                <c:pt idx="0">
                  <c:v>PAPI Gardons</c:v>
                </c:pt>
                <c:pt idx="1">
                  <c:v>PAPI Vidourle</c:v>
                </c:pt>
                <c:pt idx="2">
                  <c:v>PAPI Vistre</c:v>
                </c:pt>
                <c:pt idx="3">
                  <c:v>Plan Rhône</c:v>
                </c:pt>
                <c:pt idx="4">
                  <c:v>PAPI Hérault</c:v>
                </c:pt>
                <c:pt idx="5">
                  <c:v>PAPI Cèze</c:v>
                </c:pt>
                <c:pt idx="6">
                  <c:v>PAPI Ardèche</c:v>
                </c:pt>
                <c:pt idx="7">
                  <c:v>PAPI Gard Rhodanien </c:v>
                </c:pt>
                <c:pt idx="8">
                  <c:v>PAPI Tarn amont</c:v>
                </c:pt>
              </c:strCache>
            </c:strRef>
          </c:cat>
          <c:val>
            <c:numRef>
              <c:f>PAPI_BV!$D$76:$D$84</c:f>
              <c:numCache>
                <c:formatCode>#,##0</c:formatCode>
                <c:ptCount val="9"/>
                <c:pt idx="0">
                  <c:v>251.34285292870001</c:v>
                </c:pt>
                <c:pt idx="1">
                  <c:v>0</c:v>
                </c:pt>
                <c:pt idx="2">
                  <c:v>19931.428803685401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94-4778-BE05-FC38C661DD8D}"/>
            </c:ext>
          </c:extLst>
        </c:ser>
        <c:ser>
          <c:idx val="1"/>
          <c:order val="1"/>
          <c:tx>
            <c:strRef>
              <c:f>PAPI_BV!$E$75</c:f>
              <c:strCache>
                <c:ptCount val="1"/>
                <c:pt idx="0">
                  <c:v>Fort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PAPI_BV!$C$76:$C$84</c:f>
              <c:strCache>
                <c:ptCount val="9"/>
                <c:pt idx="0">
                  <c:v>PAPI Gardons</c:v>
                </c:pt>
                <c:pt idx="1">
                  <c:v>PAPI Vidourle</c:v>
                </c:pt>
                <c:pt idx="2">
                  <c:v>PAPI Vistre</c:v>
                </c:pt>
                <c:pt idx="3">
                  <c:v>Plan Rhône</c:v>
                </c:pt>
                <c:pt idx="4">
                  <c:v>PAPI Hérault</c:v>
                </c:pt>
                <c:pt idx="5">
                  <c:v>PAPI Cèze</c:v>
                </c:pt>
                <c:pt idx="6">
                  <c:v>PAPI Ardèche</c:v>
                </c:pt>
                <c:pt idx="7">
                  <c:v>PAPI Gard Rhodanien </c:v>
                </c:pt>
                <c:pt idx="8">
                  <c:v>PAPI Tarn amont</c:v>
                </c:pt>
              </c:strCache>
            </c:strRef>
          </c:cat>
          <c:val>
            <c:numRef>
              <c:f>PAPI_BV!$E$76:$E$84</c:f>
              <c:numCache>
                <c:formatCode>#,##0</c:formatCode>
                <c:ptCount val="9"/>
                <c:pt idx="0">
                  <c:v>20593.301355424937</c:v>
                </c:pt>
                <c:pt idx="1">
                  <c:v>12119.654044386099</c:v>
                </c:pt>
                <c:pt idx="2">
                  <c:v>46872.887674156402</c:v>
                </c:pt>
                <c:pt idx="3">
                  <c:v>25063.370009869101</c:v>
                </c:pt>
                <c:pt idx="4">
                  <c:v>267.39019407399962</c:v>
                </c:pt>
                <c:pt idx="5">
                  <c:v>9193.6926293343004</c:v>
                </c:pt>
                <c:pt idx="6">
                  <c:v>585.71661017259999</c:v>
                </c:pt>
                <c:pt idx="7">
                  <c:v>789.7698832686998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C94-4778-BE05-FC38C661DD8D}"/>
            </c:ext>
          </c:extLst>
        </c:ser>
        <c:ser>
          <c:idx val="2"/>
          <c:order val="2"/>
          <c:tx>
            <c:strRef>
              <c:f>PAPI_BV!$F$75</c:f>
              <c:strCache>
                <c:ptCount val="1"/>
                <c:pt idx="0">
                  <c:v>Modéré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PAPI_BV!$C$76:$C$84</c:f>
              <c:strCache>
                <c:ptCount val="9"/>
                <c:pt idx="0">
                  <c:v>PAPI Gardons</c:v>
                </c:pt>
                <c:pt idx="1">
                  <c:v>PAPI Vidourle</c:v>
                </c:pt>
                <c:pt idx="2">
                  <c:v>PAPI Vistre</c:v>
                </c:pt>
                <c:pt idx="3">
                  <c:v>Plan Rhône</c:v>
                </c:pt>
                <c:pt idx="4">
                  <c:v>PAPI Hérault</c:v>
                </c:pt>
                <c:pt idx="5">
                  <c:v>PAPI Cèze</c:v>
                </c:pt>
                <c:pt idx="6">
                  <c:v>PAPI Ardèche</c:v>
                </c:pt>
                <c:pt idx="7">
                  <c:v>PAPI Gard Rhodanien </c:v>
                </c:pt>
                <c:pt idx="8">
                  <c:v>PAPI Tarn amont</c:v>
                </c:pt>
              </c:strCache>
            </c:strRef>
          </c:cat>
          <c:val>
            <c:numRef>
              <c:f>PAPI_BV!$F$76:$F$84</c:f>
              <c:numCache>
                <c:formatCode>#,##0</c:formatCode>
                <c:ptCount val="9"/>
                <c:pt idx="0">
                  <c:v>11019.598320192559</c:v>
                </c:pt>
                <c:pt idx="1">
                  <c:v>9958.0527646955197</c:v>
                </c:pt>
                <c:pt idx="2">
                  <c:v>61653.244031162401</c:v>
                </c:pt>
                <c:pt idx="3">
                  <c:v>15178.386657720301</c:v>
                </c:pt>
                <c:pt idx="4">
                  <c:v>19.5122574054</c:v>
                </c:pt>
                <c:pt idx="5">
                  <c:v>3636.6004326780999</c:v>
                </c:pt>
                <c:pt idx="6">
                  <c:v>11.891553142599999</c:v>
                </c:pt>
                <c:pt idx="7">
                  <c:v>1283.394335037098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C94-4778-BE05-FC38C661DD8D}"/>
            </c:ext>
          </c:extLst>
        </c:ser>
        <c:ser>
          <c:idx val="3"/>
          <c:order val="3"/>
          <c:tx>
            <c:strRef>
              <c:f>PAPI_BV!$G$75</c:f>
              <c:strCache>
                <c:ptCount val="1"/>
                <c:pt idx="0">
                  <c:v>Résiduel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PAPI_BV!$C$76:$C$84</c:f>
              <c:strCache>
                <c:ptCount val="9"/>
                <c:pt idx="0">
                  <c:v>PAPI Gardons</c:v>
                </c:pt>
                <c:pt idx="1">
                  <c:v>PAPI Vidourle</c:v>
                </c:pt>
                <c:pt idx="2">
                  <c:v>PAPI Vistre</c:v>
                </c:pt>
                <c:pt idx="3">
                  <c:v>Plan Rhône</c:v>
                </c:pt>
                <c:pt idx="4">
                  <c:v>PAPI Hérault</c:v>
                </c:pt>
                <c:pt idx="5">
                  <c:v>PAPI Cèze</c:v>
                </c:pt>
                <c:pt idx="6">
                  <c:v>PAPI Ardèche</c:v>
                </c:pt>
                <c:pt idx="7">
                  <c:v>PAPI Gard Rhodanien </c:v>
                </c:pt>
                <c:pt idx="8">
                  <c:v>PAPI Tarn amont</c:v>
                </c:pt>
              </c:strCache>
            </c:strRef>
          </c:cat>
          <c:val>
            <c:numRef>
              <c:f>PAPI_BV!$G$76:$G$84</c:f>
              <c:numCache>
                <c:formatCode>#,##0</c:formatCode>
                <c:ptCount val="9"/>
                <c:pt idx="0">
                  <c:v>20259.507644386198</c:v>
                </c:pt>
                <c:pt idx="1">
                  <c:v>8246.7303891087467</c:v>
                </c:pt>
                <c:pt idx="2">
                  <c:v>26570.384517493902</c:v>
                </c:pt>
                <c:pt idx="3">
                  <c:v>8287.5130743388199</c:v>
                </c:pt>
                <c:pt idx="4">
                  <c:v>89.611848824899909</c:v>
                </c:pt>
                <c:pt idx="5">
                  <c:v>8776.3957002468087</c:v>
                </c:pt>
                <c:pt idx="6">
                  <c:v>0</c:v>
                </c:pt>
                <c:pt idx="7">
                  <c:v>788.97079316169936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C94-4778-BE05-FC38C661DD8D}"/>
            </c:ext>
          </c:extLst>
        </c:ser>
        <c:ser>
          <c:idx val="4"/>
          <c:order val="4"/>
          <c:tx>
            <c:strRef>
              <c:f>PAPI_BV!$H$75</c:f>
              <c:strCache>
                <c:ptCount val="1"/>
                <c:pt idx="0">
                  <c:v>Indifférencié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PAPI_BV!$C$76:$C$84</c:f>
              <c:strCache>
                <c:ptCount val="9"/>
                <c:pt idx="0">
                  <c:v>PAPI Gardons</c:v>
                </c:pt>
                <c:pt idx="1">
                  <c:v>PAPI Vidourle</c:v>
                </c:pt>
                <c:pt idx="2">
                  <c:v>PAPI Vistre</c:v>
                </c:pt>
                <c:pt idx="3">
                  <c:v>Plan Rhône</c:v>
                </c:pt>
                <c:pt idx="4">
                  <c:v>PAPI Hérault</c:v>
                </c:pt>
                <c:pt idx="5">
                  <c:v>PAPI Cèze</c:v>
                </c:pt>
                <c:pt idx="6">
                  <c:v>PAPI Ardèche</c:v>
                </c:pt>
                <c:pt idx="7">
                  <c:v>PAPI Gard Rhodanien </c:v>
                </c:pt>
                <c:pt idx="8">
                  <c:v>PAPI Tarn amont</c:v>
                </c:pt>
              </c:strCache>
            </c:strRef>
          </c:cat>
          <c:val>
            <c:numRef>
              <c:f>PAPI_BV!$H$76:$H$84</c:f>
              <c:numCache>
                <c:formatCode>#,##0</c:formatCode>
                <c:ptCount val="9"/>
                <c:pt idx="0">
                  <c:v>2620.4428128769991</c:v>
                </c:pt>
                <c:pt idx="1">
                  <c:v>5856.4149302973337</c:v>
                </c:pt>
                <c:pt idx="2">
                  <c:v>2257.2925897457339</c:v>
                </c:pt>
                <c:pt idx="3">
                  <c:v>9407.4447037140199</c:v>
                </c:pt>
                <c:pt idx="4">
                  <c:v>3811.8429383592029</c:v>
                </c:pt>
                <c:pt idx="5">
                  <c:v>1643.6920857509999</c:v>
                </c:pt>
                <c:pt idx="6">
                  <c:v>384.47898054780001</c:v>
                </c:pt>
                <c:pt idx="7">
                  <c:v>11769.539599759901</c:v>
                </c:pt>
                <c:pt idx="8">
                  <c:v>185.15412381089979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C94-4778-BE05-FC38C661DD8D}"/>
            </c:ext>
          </c:extLst>
        </c:ser>
        <c:ser>
          <c:idx val="5"/>
          <c:order val="5"/>
          <c:tx>
            <c:strRef>
              <c:f>PAPI_BV!$I$75</c:f>
              <c:strCache>
                <c:ptCount val="1"/>
                <c:pt idx="0">
                  <c:v>Hors ZI</c:v>
                </c:pt>
              </c:strCache>
            </c:strRef>
          </c:tx>
          <c:spPr>
            <a:solidFill>
              <a:schemeClr val="accent6">
                <a:lumMod val="20000"/>
                <a:lumOff val="80000"/>
              </a:schemeClr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PAPI_BV!$C$76:$C$84</c:f>
              <c:strCache>
                <c:ptCount val="9"/>
                <c:pt idx="0">
                  <c:v>PAPI Gardons</c:v>
                </c:pt>
                <c:pt idx="1">
                  <c:v>PAPI Vidourle</c:v>
                </c:pt>
                <c:pt idx="2">
                  <c:v>PAPI Vistre</c:v>
                </c:pt>
                <c:pt idx="3">
                  <c:v>Plan Rhône</c:v>
                </c:pt>
                <c:pt idx="4">
                  <c:v>PAPI Hérault</c:v>
                </c:pt>
                <c:pt idx="5">
                  <c:v>PAPI Cèze</c:v>
                </c:pt>
                <c:pt idx="6">
                  <c:v>PAPI Ardèche</c:v>
                </c:pt>
                <c:pt idx="7">
                  <c:v>PAPI Gard Rhodanien </c:v>
                </c:pt>
                <c:pt idx="8">
                  <c:v>PAPI Tarn amont</c:v>
                </c:pt>
              </c:strCache>
            </c:strRef>
          </c:cat>
          <c:val>
            <c:numRef>
              <c:f>PAPI_BV!$I$76:$I$84</c:f>
              <c:numCache>
                <c:formatCode>#,##0</c:formatCode>
                <c:ptCount val="9"/>
                <c:pt idx="0">
                  <c:v>142995.06851182171</c:v>
                </c:pt>
                <c:pt idx="1">
                  <c:v>34726.3315743477</c:v>
                </c:pt>
                <c:pt idx="2">
                  <c:v>147178.3558262533</c:v>
                </c:pt>
                <c:pt idx="3">
                  <c:v>77924.998867617498</c:v>
                </c:pt>
                <c:pt idx="4">
                  <c:v>9546.3021019924981</c:v>
                </c:pt>
                <c:pt idx="5">
                  <c:v>78045.409283763191</c:v>
                </c:pt>
                <c:pt idx="6">
                  <c:v>14827.73846919549</c:v>
                </c:pt>
                <c:pt idx="7">
                  <c:v>27339.50396032738</c:v>
                </c:pt>
                <c:pt idx="8">
                  <c:v>684.84587621810192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C94-4778-BE05-FC38C661DD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352164200"/>
        <c:axId val="352171744"/>
        <c:axId val="0"/>
      </c:bar3DChart>
      <c:catAx>
        <c:axId val="3521642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52171744"/>
        <c:crosses val="autoZero"/>
        <c:auto val="1"/>
        <c:lblAlgn val="ctr"/>
        <c:lblOffset val="100"/>
        <c:noMultiLvlLbl val="0"/>
      </c:catAx>
      <c:valAx>
        <c:axId val="3521717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521642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 dir="row">_xlchart.v1.0</cx:f>
      </cx:strDim>
      <cx:numDim type="size">
        <cx:f dir="row">_xlchart.v1.1</cx:f>
      </cx:numDim>
    </cx:data>
  </cx:chartData>
  <cx:chart>
    <cx:title pos="t" align="ctr" overlay="0">
      <cx:tx>
        <cx:rich>
          <a:bodyPr spcFirstLastPara="1" vertOverflow="ellipsis" wrap="square" lIns="0" tIns="0" rIns="0" bIns="0" anchor="ctr" anchorCtr="1"/>
          <a:lstStyle/>
          <a:p>
            <a:pPr algn="ctr">
              <a:defRPr lang="fr-FR" sz="1400" b="1" i="0" u="none" strike="noStrike" kern="1200" baseline="0">
                <a:solidFill>
                  <a:srgbClr val="44546A"/>
                </a:solidFill>
                <a:latin typeface="Calibri" panose="020F0502020204030204"/>
              </a:defRPr>
            </a:pPr>
            <a:r>
              <a:rPr lang="fr-FR" sz="1400"/>
              <a:t>Population en ZI par niveaux d'aléa en 2022</a:t>
            </a:r>
          </a:p>
          <a:p>
            <a:pPr algn="ctr">
              <a:defRPr lang="fr-FR" sz="1400" b="1" i="0" u="none" strike="noStrike" kern="1200" baseline="0">
                <a:solidFill>
                  <a:srgbClr val="44546A"/>
                </a:solidFill>
                <a:latin typeface="Calibri" panose="020F0502020204030204"/>
              </a:defRPr>
            </a:pPr>
            <a:r>
              <a:rPr lang="fr-FR" sz="1400"/>
              <a:t> (% et habitants en valeur absolue)</a:t>
            </a:r>
          </a:p>
        </cx:rich>
      </cx:tx>
    </cx:title>
    <cx:plotArea>
      <cx:plotAreaRegion>
        <cx:series layoutId="treemap" uniqueId="{DC6CBF07-D470-4895-97D1-632063092B1E}">
          <cx:tx>
            <cx:txData>
              <cx:f/>
              <cx:v>Les niveaux d'aléas</cx:v>
            </cx:txData>
          </cx:tx>
          <cx:dataPt idx="0">
            <cx:spPr>
              <a:solidFill>
                <a:srgbClr val="C00000"/>
              </a:solidFill>
            </cx:spPr>
          </cx:dataPt>
          <cx:dataPt idx="1">
            <cx:spPr>
              <a:solidFill>
                <a:srgbClr val="FF0000"/>
              </a:solidFill>
            </cx:spPr>
          </cx:dataPt>
          <cx:dataPt idx="2">
            <cx:spPr>
              <a:solidFill>
                <a:srgbClr val="FFC000"/>
              </a:solidFill>
            </cx:spPr>
          </cx:dataPt>
          <cx:dataPt idx="3">
            <cx:spPr>
              <a:solidFill>
                <a:srgbClr val="92D050"/>
              </a:solidFill>
            </cx:spPr>
          </cx:dataPt>
          <cx:dataPt idx="4">
            <cx:spPr>
              <a:solidFill>
                <a:srgbClr val="00B0F0"/>
              </a:solidFill>
            </cx:spPr>
          </cx:dataPt>
          <cx:dataLabels pos="ctr">
            <cx:txPr>
              <a:bodyPr spcFirstLastPara="1" vertOverflow="ellipsis" wrap="square" lIns="0" tIns="0" rIns="0" bIns="0" anchor="ctr" anchorCtr="1">
                <a:spAutoFit/>
              </a:bodyPr>
              <a:lstStyle/>
              <a:p>
                <a:pPr>
                  <a:defRPr lang="fr-FR" sz="1000" b="1" i="0" u="none" strike="noStrike" kern="1200" baseline="0">
                    <a:solidFill>
                      <a:sysClr val="window" lastClr="FFFFFF"/>
                    </a:solidFill>
                    <a:latin typeface="Calibri" panose="020F0502020204030204"/>
                  </a:defRPr>
                </a:pPr>
                <a:endParaRPr lang="fr-FR" sz="1000"/>
              </a:p>
            </cx:txPr>
            <cx:visibility seriesName="0" categoryName="0" value="1"/>
            <cx:separator>
</cx:separator>
            <cx:dataLabel idx="0" pos="ctr">
              <cx:txPr>
                <a:bodyPr spcFirstLastPara="1" vertOverflow="ellipsis" wrap="square" lIns="0" tIns="0" rIns="0" bIns="0" anchor="ctr" anchorCtr="1">
                  <a:spAutoFit/>
                </a:bodyPr>
                <a:lstStyle/>
                <a:p>
                  <a:pPr>
                    <a:defRPr lang="fr-FR" sz="1000" b="1" i="0" u="none" strike="noStrike" kern="1200" baseline="0">
                      <a:solidFill>
                        <a:sysClr val="window" lastClr="FFFFFF"/>
                      </a:solidFill>
                      <a:latin typeface="Calibri" panose="020F0502020204030204"/>
                    </a:defRPr>
                  </a:pPr>
                  <a:r>
                    <a:rPr lang="fr-FR" sz="1000"/>
                    <a:t>20 183</a:t>
                  </a:r>
                </a:p>
              </cx:txPr>
            </cx:dataLabel>
            <cx:dataLabel idx="1" pos="ctr">
              <cx:visibility seriesName="0" categoryName="0" value="1"/>
              <cx:separator>
</cx:separator>
            </cx:dataLabel>
          </cx:dataLabels>
          <cx:dataId val="0"/>
          <cx:layoutPr>
            <cx:parentLabelLayout val="overlapping"/>
          </cx:layoutPr>
        </cx:series>
      </cx:plotAreaRegion>
    </cx:plotArea>
    <cx:legend pos="r" align="ctr" overlay="0">
      <cx:spPr>
        <a:noFill/>
      </cx:spPr>
    </cx:legend>
  </cx:chart>
  <cx:spPr>
    <a:solidFill>
      <a:schemeClr val="bg1"/>
    </a:solidFill>
    <a:ln>
      <a:noFill/>
    </a:ln>
  </cx:spPr>
  <cx:clrMapOvr bg1="lt1" tx1="dk1" bg2="lt2" tx2="dk2" accent1="accent1" accent2="accent2" accent3="accent3" accent4="accent4" accent5="accent5" accent6="accent6" hlink="hlink" folHlink="folHlink"/>
  <cx:printSettings>
    <cx:headerFooter alignWithMargins="1" differentOddEven="0" differentFirst="0"/>
    <cx:pageMargins l="0.69999999999999996" r="0.69999999999999996" t="0.75" b="0.75" header="0.29999999999999999" footer="0.29999999999999999"/>
    <cx:pageSetup paperSize="1" firstPageNumber="1" orientation="default" blackAndWhite="0" draft="0" useFirstPageNumber="0" horizontalDpi="600" verticalDpi="600" copies="1"/>
  </cx:printSettings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 dir="row">_xlchart.v1.3</cx:f>
      </cx:strDim>
      <cx:numDim type="size">
        <cx:f dir="row">_xlchart.v1.4</cx:f>
      </cx:numDim>
    </cx:data>
  </cx:chartData>
  <cx:chart>
    <cx:title pos="t" align="ctr" overlay="0">
      <cx:tx>
        <cx:txData>
          <cx:v>PAPI HERAULT - POPULATION EN ZI - 2022</cx:v>
        </cx:txData>
      </cx:tx>
      <cx:txPr>
        <a:bodyPr spcFirstLastPara="1" vertOverflow="ellipsis" wrap="square" lIns="0" tIns="0" rIns="0" bIns="0" anchor="ctr" anchorCtr="1"/>
        <a:lstStyle/>
        <a:p>
          <a:pPr algn="ctr">
            <a:defRPr lang="fr-FR" sz="1100" b="1" i="0" u="none" strike="noStrike" kern="1200" cap="all" baseline="0">
              <a:solidFill>
                <a:srgbClr val="44546A"/>
              </a:solidFill>
              <a:latin typeface="Calibri" panose="020F0502020204030204"/>
            </a:defRPr>
          </a:pPr>
          <a:r>
            <a:rPr lang="fr-FR" sz="1100"/>
            <a:t>PAPI HERAULT - POPULATION EN ZI - 2022</a:t>
          </a:r>
        </a:p>
      </cx:txPr>
    </cx:title>
    <cx:plotArea>
      <cx:plotAreaRegion>
        <cx:series layoutId="treemap" uniqueId="{7C62333C-D887-4285-A1D0-54DC35F8898E}">
          <cx:tx>
            <cx:txData>
              <cx:f>_xlchart.v1.2</cx:f>
              <cx:v>PAPI Vistre</cx:v>
            </cx:txData>
          </cx:tx>
          <cx:dataPt idx="0">
            <cx:spPr>
              <a:solidFill>
                <a:srgbClr val="C00000"/>
              </a:solidFill>
            </cx:spPr>
          </cx:dataPt>
          <cx:dataPt idx="1">
            <cx:spPr>
              <a:solidFill>
                <a:srgbClr val="FF0000"/>
              </a:solidFill>
            </cx:spPr>
          </cx:dataPt>
          <cx:dataPt idx="2">
            <cx:spPr>
              <a:solidFill>
                <a:srgbClr val="FFC000"/>
              </a:solidFill>
            </cx:spPr>
          </cx:dataPt>
          <cx:dataPt idx="3">
            <cx:spPr>
              <a:solidFill>
                <a:srgbClr val="92D050"/>
              </a:solidFill>
            </cx:spPr>
          </cx:dataPt>
          <cx:dataPt idx="4">
            <cx:spPr>
              <a:solidFill>
                <a:srgbClr val="00B0F0"/>
              </a:solidFill>
            </cx:spPr>
          </cx:dataPt>
          <cx:dataLabels pos="ctr">
            <cx:txPr>
              <a:bodyPr spcFirstLastPara="1" vertOverflow="ellipsis" wrap="square" lIns="0" tIns="0" rIns="0" bIns="0" anchor="ctr" anchorCtr="1">
                <a:spAutoFit/>
              </a:bodyPr>
              <a:lstStyle/>
              <a:p>
                <a:pPr>
                  <a:defRPr lang="fr-FR" sz="1200" b="1" i="0" u="none" strike="noStrike" kern="1200" spc="0" baseline="0">
                    <a:solidFill>
                      <a:sysClr val="window" lastClr="FFFFFF"/>
                    </a:solidFill>
                    <a:latin typeface="Calibri" panose="020F0502020204030204"/>
                  </a:defRPr>
                </a:pPr>
                <a:endParaRPr lang="fr-FR" sz="1200"/>
              </a:p>
            </cx:txPr>
            <cx:visibility seriesName="0" categoryName="0" value="1"/>
            <cx:separator>, </cx:separator>
            <cx:dataLabel idx="1" pos="ctr">
              <cx:txPr>
                <a:bodyPr spcFirstLastPara="1" vertOverflow="ellipsis" wrap="square" lIns="0" tIns="0" rIns="0" bIns="0" anchor="ctr" anchorCtr="1">
                  <a:spAutoFit/>
                </a:bodyPr>
                <a:lstStyle/>
                <a:p>
                  <a:pPr>
                    <a:defRPr sz="1000"/>
                  </a:pPr>
                  <a:r>
                    <a:rPr lang="fr-FR" sz="1000"/>
                    <a:t>46 873</a:t>
                  </a:r>
                </a:p>
              </cx:txPr>
              <cx:visibility seriesName="0" categoryName="0" value="1"/>
              <cx:separator>, </cx:separator>
            </cx:dataLabel>
            <cx:dataLabel idx="2" pos="ctr">
              <cx:txPr>
                <a:bodyPr spcFirstLastPara="1" vertOverflow="ellipsis" wrap="square" lIns="0" tIns="0" rIns="0" bIns="0" anchor="ctr" anchorCtr="1">
                  <a:spAutoFit/>
                </a:bodyPr>
                <a:lstStyle/>
                <a:p>
                  <a:pPr>
                    <a:defRPr/>
                  </a:pPr>
                  <a:r>
                    <a:rPr lang="fr-FR" sz="1200"/>
                    <a:t>61 653</a:t>
                  </a:r>
                </a:p>
              </cx:txPr>
              <cx:visibility seriesName="0" categoryName="0" value="1"/>
              <cx:separator>, </cx:separator>
            </cx:dataLabel>
            <cx:dataLabel idx="3" pos="ctr">
              <cx:txPr>
                <a:bodyPr spcFirstLastPara="1" vertOverflow="ellipsis" wrap="square" lIns="0" tIns="0" rIns="0" bIns="0" anchor="ctr" anchorCtr="1">
                  <a:spAutoFit/>
                </a:bodyPr>
                <a:lstStyle/>
                <a:p>
                  <a:pPr>
                    <a:defRPr/>
                  </a:pPr>
                  <a:r>
                    <a:rPr lang="fr-FR" sz="1200"/>
                    <a:t>26 570</a:t>
                  </a:r>
                </a:p>
              </cx:txPr>
              <cx:visibility seriesName="0" categoryName="0" value="1"/>
              <cx:separator>, </cx:separator>
            </cx:dataLabel>
            <cx:dataLabel idx="4" pos="ctr">
              <cx:txPr>
                <a:bodyPr spcFirstLastPara="1" vertOverflow="ellipsis" wrap="square" lIns="0" tIns="0" rIns="0" bIns="0" anchor="ctr" anchorCtr="1">
                  <a:spAutoFit/>
                </a:bodyPr>
                <a:lstStyle/>
                <a:p>
                  <a:pPr>
                    <a:defRPr lang="fr-FR" sz="1100" b="1" i="0" u="none" strike="noStrike" kern="1200" spc="0" baseline="0">
                      <a:solidFill>
                        <a:sysClr val="window" lastClr="FFFFFF"/>
                      </a:solidFill>
                      <a:latin typeface="Calibri" panose="020F0502020204030204"/>
                    </a:defRPr>
                  </a:pPr>
                  <a:r>
                    <a:rPr lang="fr-FR" sz="1100"/>
                    <a:t>2 257</a:t>
                  </a:r>
                </a:p>
              </cx:txPr>
              <cx:visibility seriesName="0" categoryName="0" value="1"/>
              <cx:separator>, </cx:separator>
            </cx:dataLabel>
          </cx:dataLabels>
          <cx:dataId val="0"/>
          <cx:layoutPr>
            <cx:parentLabelLayout val="overlapping"/>
          </cx:layoutPr>
        </cx:series>
      </cx:plotAreaRegion>
    </cx:plotArea>
  </cx:chart>
  <cx:spPr>
    <a:solidFill>
      <a:schemeClr val="bg1"/>
    </a:solidFill>
    <a:ln>
      <a:noFill/>
    </a:ln>
  </cx:spPr>
  <cx:clrMapOvr bg1="lt1" tx1="dk1" bg2="lt2" tx2="dk2" accent1="accent1" accent2="accent2" accent3="accent3" accent4="accent4" accent5="accent5" accent6="accent6" hlink="hlink" folHlink="folHlink"/>
  <cx:printSettings>
    <cx:headerFooter alignWithMargins="1" differentOddEven="0" differentFirst="0"/>
    <cx:pageMargins l="0.69999999999999996" r="0.69999999999999996" t="0.75" b="0.75" header="0.29999999999999999" footer="0.29999999999999999"/>
    <cx:pageSetup paperSize="1" firstPageNumber="1" orientation="default" blackAndWhite="0" draft="0" useFirstPageNumber="0" horizontalDpi="600" verticalDpi="600" copies="1"/>
  </cx:printSettings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 dir="row">_xlchart.v1.7</cx:f>
      </cx:strDim>
      <cx:numDim type="size">
        <cx:f dir="row">_xlchart.v1.9</cx:f>
      </cx:numDim>
    </cx:data>
    <cx:data id="1">
      <cx:strDim type="cat">
        <cx:f dir="row">_xlchart.v1.7</cx:f>
      </cx:strDim>
      <cx:numDim type="size">
        <cx:f dir="row">_xlchart.v1.8</cx:f>
      </cx:numDim>
    </cx:data>
  </cx:chartData>
  <cx:chart>
    <cx:title pos="t" align="ctr" overlay="0">
      <cx:tx>
        <cx:txData>
          <cx:v>Population en ZI par niveaux d'aléas en 2019</cx:v>
        </cx:txData>
      </cx:tx>
      <cx:txPr>
        <a:bodyPr spcFirstLastPara="1" vertOverflow="ellipsis" wrap="square" lIns="0" tIns="0" rIns="0" bIns="0" anchor="ctr" anchorCtr="1"/>
        <a:lstStyle/>
        <a:p>
          <a:pPr algn="ctr">
            <a:defRPr lang="fr-FR" sz="1400" b="1" i="0" u="none" strike="noStrike" kern="1200" baseline="0">
              <a:solidFill>
                <a:srgbClr val="44546A"/>
              </a:solidFill>
              <a:latin typeface="Calibri" panose="020F0502020204030204"/>
            </a:defRPr>
          </a:pPr>
          <a:r>
            <a:rPr lang="fr-FR" sz="1400"/>
            <a:t>Population en ZI par niveaux d'aléas en 2019</a:t>
          </a:r>
        </a:p>
      </cx:txPr>
    </cx:title>
    <cx:plotArea>
      <cx:plotAreaRegion>
        <cx:series layoutId="sunburst" uniqueId="{00000000-88D1-4607-BB8F-3512000CCF30}" formatIdx="0">
          <cx:tx>
            <cx:txData>
              <cx:f>_xlchart.v1.6</cx:f>
              <cx:v>PAPI Vistre</cx:v>
            </cx:txData>
          </cx:tx>
          <cx:dataPt idx="0">
            <cx:spPr>
              <a:solidFill>
                <a:srgbClr val="C00000"/>
              </a:solidFill>
            </cx:spPr>
          </cx:dataPt>
          <cx:dataPt idx="1">
            <cx:spPr>
              <a:solidFill>
                <a:srgbClr val="FF0000"/>
              </a:solidFill>
            </cx:spPr>
          </cx:dataPt>
          <cx:dataPt idx="2">
            <cx:spPr>
              <a:solidFill>
                <a:srgbClr val="FFC000"/>
              </a:solidFill>
            </cx:spPr>
          </cx:dataPt>
          <cx:dataPt idx="3">
            <cx:spPr>
              <a:solidFill>
                <a:srgbClr val="92D050"/>
              </a:solidFill>
            </cx:spPr>
          </cx:dataPt>
          <cx:dataPt idx="4">
            <cx:spPr>
              <a:solidFill>
                <a:srgbClr val="00B0F0"/>
              </a:solidFill>
            </cx:spPr>
          </cx:dataPt>
          <cx:dataLabels>
            <cx:txPr>
              <a:bodyPr spcFirstLastPara="1" vertOverflow="ellipsis" wrap="square" lIns="0" tIns="0" rIns="0" bIns="0" anchor="ctr" anchorCtr="1">
                <a:spAutoFit/>
              </a:bodyPr>
              <a:lstStyle/>
              <a:p>
                <a:pPr>
                  <a:defRPr lang="fr-FR" sz="1400" b="1" i="0" u="none" strike="noStrike" kern="1200" baseline="0">
                    <a:solidFill>
                      <a:sysClr val="window" lastClr="FFFFFF"/>
                    </a:solidFill>
                    <a:latin typeface="Calibri" panose="020F0502020204030204"/>
                  </a:defRPr>
                </a:pPr>
                <a:endParaRPr lang="fr-FR" sz="1400"/>
              </a:p>
            </cx:txPr>
            <cx:visibility seriesName="0" categoryName="0" value="1"/>
            <cx:separator>, </cx:separator>
          </cx:dataLabels>
          <cx:dataId val="0"/>
        </cx:series>
        <cx:series layoutId="sunburst" hidden="1" uniqueId="{00000001-88D1-4607-BB8F-3512000CCF30}" formatIdx="0">
          <cx:tx>
            <cx:txData>
              <cx:f>_xlchart.v1.5</cx:f>
              <cx:v>PAPI Vistre</cx:v>
            </cx:txData>
          </cx:tx>
          <cx:dataId val="1"/>
        </cx:series>
      </cx:plotAreaRegion>
    </cx:plotArea>
  </cx:chart>
  <cx:clrMapOvr bg1="lt1" tx1="dk1" bg2="lt2" tx2="dk2" accent1="accent1" accent2="accent2" accent3="accent3" accent4="accent4" accent5="accent5" accent6="accent6" hlink="hlink" folHlink="folHlink"/>
  <cx:printSettings>
    <cx:headerFooter alignWithMargins="1" differentOddEven="0" differentFirst="0"/>
    <cx:pageMargins l="0.69999999999999996" r="0.69999999999999996" t="0.75" b="0.75" header="0.29999999999999999" footer="0.29999999999999999"/>
    <cx:pageSetup paperSize="1" firstPageNumber="1" orientation="default" blackAndWhite="0" draft="0" useFirstPageNumber="0" horizontalDpi="600" verticalDpi="600" copies="1"/>
  </cx:printSettings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411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1000" b="1" i="0" u="none" strike="noStrike" kern="1200" baseline="0"/>
    <cs:bodyPr lIns="38100" tIns="19050" rIns="38100" bIns="19050">
      <a:spAutoFit/>
    </cs:bodyPr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>
        <a:solidFill>
          <a:schemeClr val="bg1"/>
        </a:solidFill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/>
      </a:solidFill>
    </cs:spPr>
  </cs:downBar>
  <cs:dropLine>
    <cs:lnRef idx="0"/>
    <cs:fillRef idx="0"/>
    <cs:effectRef idx="0"/>
    <cs:fontRef idx="minor">
      <a:schemeClr val="dk1"/>
    </cs:fontRef>
  </cs:dropLine>
  <cs:errorBar>
    <cs:lnRef idx="0"/>
    <cs:fillRef idx="0"/>
    <cs:effectRef idx="0"/>
    <cs:fontRef idx="minor">
      <a:schemeClr val="dk1"/>
    </cs:fontRef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  <a:lumOff val="10000"/>
              </a:schemeClr>
            </a:gs>
            <a:gs pos="0">
              <a:schemeClr val="lt1">
                <a:lumMod val="75000"/>
                <a:alpha val="36000"/>
                <a:lumOff val="10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</cs:hiLoLine>
  <cs:leaderLine>
    <cs:lnRef idx="0"/>
    <cs:fillRef idx="0"/>
    <cs:effectRef idx="0"/>
    <cs:fontRef idx="minor">
      <a:schemeClr val="dk1"/>
    </cs:fontRef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dk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defRPr sz="9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416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bg1"/>
    </cs:fontRef>
    <cs:defRPr sz="1000" b="1" i="0" u="none" strike="noStrike" kern="1200" spc="0" baseline="0"/>
    <cs:bodyPr lIns="38100" tIns="19050" rIns="38100" bIns="19050">
      <a:spAutoFit/>
    </cs:bodyPr>
  </cs:dataLabel>
  <cs:dataLabelCallout>
    <cs:lnRef idx="0">
      <cs:styleClr val="auto"/>
    </cs:lnRef>
    <cs:fillRef idx="0"/>
    <cs:effectRef idx="0"/>
    <cs:fontRef idx="minor">
      <a:schemeClr val="tx1">
        <a:lumMod val="65000"/>
        <a:lumOff val="35000"/>
      </a:schemeClr>
    </cs:fontRef>
    <cs:spPr>
      <a:solidFill>
        <a:schemeClr val="lt1"/>
      </a:solidFill>
      <a:ln>
        <a:solidFill>
          <a:schemeClr val="phClr"/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>
        <a:solidFill>
          <a:schemeClr val="bg1"/>
        </a:solidFill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defRPr sz="900"/>
  </cs:dataTable>
  <cs:downBar>
    <cs:lnRef idx="0"/>
    <cs:fillRef idx="0"/>
    <cs:effectRef idx="0"/>
    <cs:fontRef idx="minor">
      <a:schemeClr val="tx1"/>
    </cs:fontRef>
    <cs:spPr>
      <a:solidFill>
        <a:schemeClr val="dk1"/>
      </a:solidFill>
    </cs:spPr>
  </cs:downBar>
  <cs:dropLine>
    <cs:lnRef idx="0"/>
    <cs:fillRef idx="0"/>
    <cs:effectRef idx="0"/>
    <cs:fontRef idx="minor">
      <a:schemeClr val="tx1"/>
    </cs:fontRef>
  </cs:dropLine>
  <cs:errorBar>
    <cs:lnRef idx="0"/>
    <cs:fillRef idx="0"/>
    <cs:effectRef idx="0"/>
    <cs:fontRef idx="minor">
      <a:schemeClr val="tx1"/>
    </cs:fontRef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  <a:lumOff val="10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</cs:hiLoLine>
  <cs:leaderLine>
    <cs:lnRef idx="0"/>
    <cs:fillRef idx="0"/>
    <cs:effectRef idx="0"/>
    <cs:fontRef idx="minor">
      <a:schemeClr val="tx1"/>
    </cs:fontRef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411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1000" b="1" i="0" u="none" strike="noStrike" kern="1200" baseline="0"/>
    <cs:bodyPr lIns="38100" tIns="19050" rIns="38100" bIns="19050">
      <a:spAutoFit/>
    </cs:bodyPr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>
        <a:solidFill>
          <a:schemeClr val="bg1"/>
        </a:solidFill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/>
      </a:solidFill>
    </cs:spPr>
  </cs:downBar>
  <cs:dropLine>
    <cs:lnRef idx="0"/>
    <cs:fillRef idx="0"/>
    <cs:effectRef idx="0"/>
    <cs:fontRef idx="minor">
      <a:schemeClr val="dk1"/>
    </cs:fontRef>
  </cs:dropLine>
  <cs:errorBar>
    <cs:lnRef idx="0"/>
    <cs:fillRef idx="0"/>
    <cs:effectRef idx="0"/>
    <cs:fontRef idx="minor">
      <a:schemeClr val="dk1"/>
    </cs:fontRef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  <a:lumOff val="10000"/>
              </a:schemeClr>
            </a:gs>
            <a:gs pos="0">
              <a:schemeClr val="lt1">
                <a:lumMod val="75000"/>
                <a:alpha val="36000"/>
                <a:lumOff val="10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</cs:hiLoLine>
  <cs:leaderLine>
    <cs:lnRef idx="0"/>
    <cs:fillRef idx="0"/>
    <cs:effectRef idx="0"/>
    <cs:fontRef idx="minor">
      <a:schemeClr val="dk1"/>
    </cs:fontRef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dk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defRPr sz="9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microsoft.com/office/2014/relationships/chartEx" Target="../charts/chartEx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microsoft.com/office/2014/relationships/chartEx" Target="../charts/chartEx3.xml"/><Relationship Id="rId1" Type="http://schemas.microsoft.com/office/2014/relationships/chartEx" Target="../charts/chartEx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609600</xdr:colOff>
      <xdr:row>8</xdr:row>
      <xdr:rowOff>57148</xdr:rowOff>
    </xdr:from>
    <xdr:to>
      <xdr:col>16</xdr:col>
      <xdr:colOff>876300</xdr:colOff>
      <xdr:row>29</xdr:row>
      <xdr:rowOff>190499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Graphique 4">
              <a:extLst>
                <a:ext uri="{FF2B5EF4-FFF2-40B4-BE49-F238E27FC236}">
                  <a16:creationId xmlns:a16="http://schemas.microsoft.com/office/drawing/2014/main" id="{00000000-0008-0000-0000-000005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3182600" y="1990723"/>
              <a:ext cx="4457700" cy="4133851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 graphique n’est pas disponible dans votre version d’Excel.
La modification de cette forme ou l’enregistrement de ce classeur dans un autre format de fichier endommagera le graphique de façon irréparable.</a:t>
              </a:r>
            </a:p>
          </xdr:txBody>
        </xdr:sp>
      </mc:Fallback>
    </mc:AlternateContent>
    <xdr:clientData/>
  </xdr:twoCellAnchor>
  <xdr:oneCellAnchor>
    <xdr:from>
      <xdr:col>4</xdr:col>
      <xdr:colOff>238125</xdr:colOff>
      <xdr:row>16</xdr:row>
      <xdr:rowOff>0</xdr:rowOff>
    </xdr:from>
    <xdr:ext cx="184731" cy="264560"/>
    <xdr:sp macro="" textlink="">
      <xdr:nvSpPr>
        <xdr:cNvPr id="20" name="ZoneTexte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4429125" y="3457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10</xdr:col>
      <xdr:colOff>400050</xdr:colOff>
      <xdr:row>14</xdr:row>
      <xdr:rowOff>104775</xdr:rowOff>
    </xdr:from>
    <xdr:ext cx="685893" cy="405432"/>
    <xdr:sp macro="" textlink="">
      <xdr:nvSpPr>
        <xdr:cNvPr id="21" name="ZoneText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10877550" y="3181350"/>
          <a:ext cx="685893" cy="4054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fr-FR" sz="2000" b="1">
              <a:solidFill>
                <a:schemeClr val="bg1"/>
              </a:solidFill>
            </a:rPr>
            <a:t>33 %</a:t>
          </a:r>
        </a:p>
      </xdr:txBody>
    </xdr:sp>
    <xdr:clientData/>
  </xdr:oneCellAnchor>
  <xdr:oneCellAnchor>
    <xdr:from>
      <xdr:col>11</xdr:col>
      <xdr:colOff>466725</xdr:colOff>
      <xdr:row>14</xdr:row>
      <xdr:rowOff>104775</xdr:rowOff>
    </xdr:from>
    <xdr:ext cx="685893" cy="405432"/>
    <xdr:sp macro="" textlink="">
      <xdr:nvSpPr>
        <xdr:cNvPr id="22" name="ZoneTexte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11991975" y="3181350"/>
          <a:ext cx="685893" cy="4054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fr-FR" sz="2000" b="1">
              <a:solidFill>
                <a:schemeClr val="bg1"/>
              </a:solidFill>
            </a:rPr>
            <a:t>30 %</a:t>
          </a:r>
        </a:p>
      </xdr:txBody>
    </xdr:sp>
    <xdr:clientData/>
  </xdr:oneCellAnchor>
  <xdr:oneCellAnchor>
    <xdr:from>
      <xdr:col>10</xdr:col>
      <xdr:colOff>466725</xdr:colOff>
      <xdr:row>21</xdr:row>
      <xdr:rowOff>47625</xdr:rowOff>
    </xdr:from>
    <xdr:ext cx="685893" cy="405432"/>
    <xdr:sp macro="" textlink="">
      <xdr:nvSpPr>
        <xdr:cNvPr id="23" name="ZoneTexte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0944225" y="4457700"/>
          <a:ext cx="685893" cy="4054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fr-FR" sz="2000" b="1">
              <a:solidFill>
                <a:schemeClr val="bg1"/>
              </a:solidFill>
            </a:rPr>
            <a:t>21 %</a:t>
          </a:r>
        </a:p>
      </xdr:txBody>
    </xdr:sp>
    <xdr:clientData/>
  </xdr:oneCellAnchor>
  <xdr:oneCellAnchor>
    <xdr:from>
      <xdr:col>11</xdr:col>
      <xdr:colOff>333375</xdr:colOff>
      <xdr:row>21</xdr:row>
      <xdr:rowOff>47625</xdr:rowOff>
    </xdr:from>
    <xdr:ext cx="555921" cy="405432"/>
    <xdr:sp macro="" textlink="">
      <xdr:nvSpPr>
        <xdr:cNvPr id="24" name="ZoneTexte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11858625" y="4457700"/>
          <a:ext cx="555921" cy="4054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fr-FR" sz="2000" b="1">
              <a:solidFill>
                <a:schemeClr val="bg1"/>
              </a:solidFill>
            </a:rPr>
            <a:t>9 %</a:t>
          </a:r>
        </a:p>
      </xdr:txBody>
    </xdr:sp>
    <xdr:clientData/>
  </xdr:oneCellAnchor>
  <xdr:oneCellAnchor>
    <xdr:from>
      <xdr:col>11</xdr:col>
      <xdr:colOff>838199</xdr:colOff>
      <xdr:row>21</xdr:row>
      <xdr:rowOff>47625</xdr:rowOff>
    </xdr:from>
    <xdr:ext cx="581025" cy="405432"/>
    <xdr:sp macro="" textlink="">
      <xdr:nvSpPr>
        <xdr:cNvPr id="25" name="ZoneTexte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12363449" y="4457700"/>
          <a:ext cx="581025" cy="4054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fr-FR" sz="2000" b="1">
              <a:solidFill>
                <a:schemeClr val="bg1"/>
              </a:solidFill>
            </a:rPr>
            <a:t>7 %</a:t>
          </a:r>
        </a:p>
      </xdr:txBody>
    </xdr:sp>
    <xdr:clientData/>
  </xdr:oneCellAnchor>
  <xdr:twoCellAnchor>
    <xdr:from>
      <xdr:col>0</xdr:col>
      <xdr:colOff>100011</xdr:colOff>
      <xdr:row>8</xdr:row>
      <xdr:rowOff>85724</xdr:rowOff>
    </xdr:from>
    <xdr:to>
      <xdr:col>5</xdr:col>
      <xdr:colOff>628650</xdr:colOff>
      <xdr:row>27</xdr:row>
      <xdr:rowOff>171449</xdr:rowOff>
    </xdr:to>
    <xdr:graphicFrame macro="">
      <xdr:nvGraphicFramePr>
        <xdr:cNvPr id="37" name="Graphiqu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571500</xdr:colOff>
      <xdr:row>7</xdr:row>
      <xdr:rowOff>161924</xdr:rowOff>
    </xdr:from>
    <xdr:to>
      <xdr:col>11</xdr:col>
      <xdr:colOff>857250</xdr:colOff>
      <xdr:row>26</xdr:row>
      <xdr:rowOff>190499</xdr:rowOff>
    </xdr:to>
    <xdr:graphicFrame macro="">
      <xdr:nvGraphicFramePr>
        <xdr:cNvPr id="40" name="Graphiqu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0</xdr:col>
      <xdr:colOff>581025</xdr:colOff>
      <xdr:row>11</xdr:row>
      <xdr:rowOff>9525</xdr:rowOff>
    </xdr:from>
    <xdr:ext cx="603755" cy="248851"/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81025" y="2514600"/>
          <a:ext cx="603755" cy="2488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fr-FR" sz="1000" b="1"/>
            <a:t>266</a:t>
          </a:r>
          <a:r>
            <a:rPr lang="fr-FR" sz="1000" b="1" baseline="0"/>
            <a:t> 045</a:t>
          </a:r>
          <a:endParaRPr lang="fr-FR" sz="1000" b="1"/>
        </a:p>
      </xdr:txBody>
    </xdr:sp>
    <xdr:clientData/>
  </xdr:oneCellAnchor>
  <xdr:oneCellAnchor>
    <xdr:from>
      <xdr:col>1</xdr:col>
      <xdr:colOff>771525</xdr:colOff>
      <xdr:row>10</xdr:row>
      <xdr:rowOff>114300</xdr:rowOff>
    </xdr:from>
    <xdr:ext cx="603755" cy="248851"/>
    <xdr:sp macro="" textlink="">
      <xdr:nvSpPr>
        <xdr:cNvPr id="32" name="ZoneTexte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1819275" y="2428875"/>
          <a:ext cx="603755" cy="2488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fr-FR" sz="1000" b="1"/>
            <a:t>278</a:t>
          </a:r>
          <a:r>
            <a:rPr lang="fr-FR" sz="1000" b="1" baseline="0"/>
            <a:t> 165</a:t>
          </a:r>
          <a:endParaRPr lang="fr-FR" sz="1000" b="1"/>
        </a:p>
      </xdr:txBody>
    </xdr:sp>
    <xdr:clientData/>
  </xdr:oneCellAnchor>
  <xdr:oneCellAnchor>
    <xdr:from>
      <xdr:col>2</xdr:col>
      <xdr:colOff>933450</xdr:colOff>
      <xdr:row>10</xdr:row>
      <xdr:rowOff>28575</xdr:rowOff>
    </xdr:from>
    <xdr:ext cx="603755" cy="248851"/>
    <xdr:sp macro="" textlink="">
      <xdr:nvSpPr>
        <xdr:cNvPr id="33" name="ZoneTexte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3028950" y="2343150"/>
          <a:ext cx="603755" cy="2488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fr-FR" sz="1000" b="1"/>
            <a:t>290</a:t>
          </a:r>
          <a:r>
            <a:rPr lang="fr-FR" sz="1000" b="1" baseline="0"/>
            <a:t> 059</a:t>
          </a:r>
          <a:endParaRPr lang="fr-FR" sz="1000" b="1"/>
        </a:p>
      </xdr:txBody>
    </xdr:sp>
    <xdr:clientData/>
  </xdr:oneCellAnchor>
  <xdr:oneCellAnchor>
    <xdr:from>
      <xdr:col>4</xdr:col>
      <xdr:colOff>152400</xdr:colOff>
      <xdr:row>10</xdr:row>
      <xdr:rowOff>9525</xdr:rowOff>
    </xdr:from>
    <xdr:ext cx="603755" cy="248851"/>
    <xdr:sp macro="" textlink="">
      <xdr:nvSpPr>
        <xdr:cNvPr id="34" name="ZoneTexte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4343400" y="2324100"/>
          <a:ext cx="603755" cy="2488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fr-FR" sz="1000" b="1"/>
            <a:t>290</a:t>
          </a:r>
          <a:r>
            <a:rPr lang="fr-FR" sz="1000" b="1" baseline="0"/>
            <a:t> 732</a:t>
          </a:r>
          <a:endParaRPr lang="fr-FR" sz="1000" b="1"/>
        </a:p>
      </xdr:txBody>
    </xdr:sp>
    <xdr:clientData/>
  </xdr:oneCellAnchor>
  <xdr:twoCellAnchor>
    <xdr:from>
      <xdr:col>13</xdr:col>
      <xdr:colOff>133350</xdr:colOff>
      <xdr:row>15</xdr:row>
      <xdr:rowOff>28575</xdr:rowOff>
    </xdr:from>
    <xdr:to>
      <xdr:col>13</xdr:col>
      <xdr:colOff>819150</xdr:colOff>
      <xdr:row>17</xdr:row>
      <xdr:rowOff>95250</xdr:rowOff>
    </xdr:to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id="{A9ED3958-5773-4609-BA41-04989B09CE74}"/>
            </a:ext>
          </a:extLst>
        </xdr:cNvPr>
        <xdr:cNvSpPr txBox="1"/>
      </xdr:nvSpPr>
      <xdr:spPr>
        <a:xfrm>
          <a:off x="13754100" y="3295650"/>
          <a:ext cx="685800" cy="4476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2000" b="1">
              <a:solidFill>
                <a:schemeClr val="bg1"/>
              </a:solidFill>
            </a:rPr>
            <a:t>33 %</a:t>
          </a:r>
        </a:p>
      </xdr:txBody>
    </xdr:sp>
    <xdr:clientData/>
  </xdr:twoCellAnchor>
  <xdr:twoCellAnchor>
    <xdr:from>
      <xdr:col>14</xdr:col>
      <xdr:colOff>790575</xdr:colOff>
      <xdr:row>15</xdr:row>
      <xdr:rowOff>9524</xdr:rowOff>
    </xdr:from>
    <xdr:to>
      <xdr:col>15</xdr:col>
      <xdr:colOff>428625</xdr:colOff>
      <xdr:row>17</xdr:row>
      <xdr:rowOff>76199</xdr:rowOff>
    </xdr:to>
    <xdr:sp macro="" textlink="">
      <xdr:nvSpPr>
        <xdr:cNvPr id="16" name="ZoneTexte 15">
          <a:extLst>
            <a:ext uri="{FF2B5EF4-FFF2-40B4-BE49-F238E27FC236}">
              <a16:creationId xmlns:a16="http://schemas.microsoft.com/office/drawing/2014/main" id="{6A3403C4-9C57-4993-9D01-F7ECF5C288CE}"/>
            </a:ext>
          </a:extLst>
        </xdr:cNvPr>
        <xdr:cNvSpPr txBox="1"/>
      </xdr:nvSpPr>
      <xdr:spPr>
        <a:xfrm>
          <a:off x="15459075" y="3276599"/>
          <a:ext cx="685800" cy="4476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2000" b="1">
              <a:solidFill>
                <a:schemeClr val="bg1"/>
              </a:solidFill>
            </a:rPr>
            <a:t>30 %</a:t>
          </a:r>
        </a:p>
      </xdr:txBody>
    </xdr:sp>
    <xdr:clientData/>
  </xdr:twoCellAnchor>
  <xdr:twoCellAnchor>
    <xdr:from>
      <xdr:col>13</xdr:col>
      <xdr:colOff>247650</xdr:colOff>
      <xdr:row>24</xdr:row>
      <xdr:rowOff>180975</xdr:rowOff>
    </xdr:from>
    <xdr:to>
      <xdr:col>13</xdr:col>
      <xdr:colOff>933450</xdr:colOff>
      <xdr:row>27</xdr:row>
      <xdr:rowOff>57150</xdr:rowOff>
    </xdr:to>
    <xdr:sp macro="" textlink="">
      <xdr:nvSpPr>
        <xdr:cNvPr id="18" name="ZoneTexte 17">
          <a:extLst>
            <a:ext uri="{FF2B5EF4-FFF2-40B4-BE49-F238E27FC236}">
              <a16:creationId xmlns:a16="http://schemas.microsoft.com/office/drawing/2014/main" id="{E73E00F4-7B47-4A19-B7F1-BAAFC6ABE7DA}"/>
            </a:ext>
          </a:extLst>
        </xdr:cNvPr>
        <xdr:cNvSpPr txBox="1"/>
      </xdr:nvSpPr>
      <xdr:spPr>
        <a:xfrm>
          <a:off x="13868400" y="5162550"/>
          <a:ext cx="685800" cy="4476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2000" b="1">
              <a:solidFill>
                <a:schemeClr val="bg1"/>
              </a:solidFill>
            </a:rPr>
            <a:t>21 %</a:t>
          </a:r>
        </a:p>
      </xdr:txBody>
    </xdr:sp>
    <xdr:clientData/>
  </xdr:twoCellAnchor>
  <xdr:twoCellAnchor>
    <xdr:from>
      <xdr:col>14</xdr:col>
      <xdr:colOff>581025</xdr:colOff>
      <xdr:row>24</xdr:row>
      <xdr:rowOff>152400</xdr:rowOff>
    </xdr:from>
    <xdr:to>
      <xdr:col>15</xdr:col>
      <xdr:colOff>219075</xdr:colOff>
      <xdr:row>27</xdr:row>
      <xdr:rowOff>28575</xdr:rowOff>
    </xdr:to>
    <xdr:sp macro="" textlink="">
      <xdr:nvSpPr>
        <xdr:cNvPr id="19" name="ZoneTexte 18">
          <a:extLst>
            <a:ext uri="{FF2B5EF4-FFF2-40B4-BE49-F238E27FC236}">
              <a16:creationId xmlns:a16="http://schemas.microsoft.com/office/drawing/2014/main" id="{3D088BCA-9DCD-485E-84C7-068F4EE3C2DB}"/>
            </a:ext>
          </a:extLst>
        </xdr:cNvPr>
        <xdr:cNvSpPr txBox="1"/>
      </xdr:nvSpPr>
      <xdr:spPr>
        <a:xfrm>
          <a:off x="15249525" y="5133975"/>
          <a:ext cx="685800" cy="4476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2000" b="1">
              <a:solidFill>
                <a:schemeClr val="bg1"/>
              </a:solidFill>
            </a:rPr>
            <a:t>9 %</a:t>
          </a:r>
        </a:p>
      </xdr:txBody>
    </xdr:sp>
    <xdr:clientData/>
  </xdr:twoCellAnchor>
  <xdr:twoCellAnchor>
    <xdr:from>
      <xdr:col>15</xdr:col>
      <xdr:colOff>257175</xdr:colOff>
      <xdr:row>24</xdr:row>
      <xdr:rowOff>114300</xdr:rowOff>
    </xdr:from>
    <xdr:to>
      <xdr:col>15</xdr:col>
      <xdr:colOff>942975</xdr:colOff>
      <xdr:row>26</xdr:row>
      <xdr:rowOff>180975</xdr:rowOff>
    </xdr:to>
    <xdr:sp macro="" textlink="">
      <xdr:nvSpPr>
        <xdr:cNvPr id="26" name="ZoneTexte 25">
          <a:extLst>
            <a:ext uri="{FF2B5EF4-FFF2-40B4-BE49-F238E27FC236}">
              <a16:creationId xmlns:a16="http://schemas.microsoft.com/office/drawing/2014/main" id="{2056F64C-92E5-4BC9-A459-C948AB7BE387}"/>
            </a:ext>
          </a:extLst>
        </xdr:cNvPr>
        <xdr:cNvSpPr txBox="1"/>
      </xdr:nvSpPr>
      <xdr:spPr>
        <a:xfrm>
          <a:off x="15973425" y="5095875"/>
          <a:ext cx="685800" cy="4476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2000" b="1">
              <a:solidFill>
                <a:schemeClr val="bg1"/>
              </a:solidFill>
            </a:rPr>
            <a:t>7 %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794</xdr:colOff>
      <xdr:row>46</xdr:row>
      <xdr:rowOff>190499</xdr:rowOff>
    </xdr:from>
    <xdr:to>
      <xdr:col>3</xdr:col>
      <xdr:colOff>581025</xdr:colOff>
      <xdr:row>63</xdr:row>
      <xdr:rowOff>161925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Graphique 1">
              <a:extLst>
                <a:ext uri="{FF2B5EF4-FFF2-40B4-BE49-F238E27FC236}">
                  <a16:creationId xmlns:a16="http://schemas.microsoft.com/office/drawing/2014/main" id="{00000000-0008-0000-0100-000002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457994" y="9772649"/>
              <a:ext cx="3409156" cy="3209926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 graphique n’est pas disponible dans votre version d’Excel.
La modification de cette forme ou l’enregistrement de ce classeur dans un autre format de fichier endommagera le graphique de façon irréparable.</a:t>
              </a:r>
            </a:p>
          </xdr:txBody>
        </xdr:sp>
      </mc:Fallback>
    </mc:AlternateContent>
    <xdr:clientData/>
  </xdr:twoCellAnchor>
  <xdr:twoCellAnchor>
    <xdr:from>
      <xdr:col>5</xdr:col>
      <xdr:colOff>9525</xdr:colOff>
      <xdr:row>47</xdr:row>
      <xdr:rowOff>9525</xdr:rowOff>
    </xdr:from>
    <xdr:to>
      <xdr:col>8</xdr:col>
      <xdr:colOff>609600</xdr:colOff>
      <xdr:row>64</xdr:row>
      <xdr:rowOff>66675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3" name="Graphique 2">
              <a:extLst>
                <a:ext uri="{FF2B5EF4-FFF2-40B4-BE49-F238E27FC236}">
                  <a16:creationId xmlns:a16="http://schemas.microsoft.com/office/drawing/2014/main" id="{00000000-0008-0000-0100-000003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5391150" y="9782175"/>
              <a:ext cx="3743325" cy="32956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 graphique n’est pas disponible dans votre version d’Excel.
La modification de cette forme ou l’enregistrement de ce classeur dans un autre format de fichier endommagera le graphique de façon irréparable.</a:t>
              </a:r>
            </a:p>
          </xdr:txBody>
        </xdr:sp>
      </mc:Fallback>
    </mc:AlternateContent>
    <xdr:clientData/>
  </xdr:twoCellAnchor>
  <xdr:twoCellAnchor>
    <xdr:from>
      <xdr:col>3</xdr:col>
      <xdr:colOff>141925</xdr:colOff>
      <xdr:row>52</xdr:row>
      <xdr:rowOff>103365</xdr:rowOff>
    </xdr:from>
    <xdr:to>
      <xdr:col>3</xdr:col>
      <xdr:colOff>857250</xdr:colOff>
      <xdr:row>54</xdr:row>
      <xdr:rowOff>113250</xdr:rowOff>
    </xdr:to>
    <xdr:sp macro="" textlink="">
      <xdr:nvSpPr>
        <xdr:cNvPr id="4" name="ZoneText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3428050" y="10838040"/>
          <a:ext cx="715325" cy="3908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600" b="1" baseline="0">
              <a:solidFill>
                <a:schemeClr val="bg1"/>
              </a:solidFill>
            </a:rPr>
            <a:t>6</a:t>
          </a:r>
          <a:r>
            <a:rPr lang="fr-FR" sz="1600" b="1">
              <a:solidFill>
                <a:schemeClr val="bg1"/>
              </a:solidFill>
            </a:rPr>
            <a:t>%</a:t>
          </a:r>
        </a:p>
      </xdr:txBody>
    </xdr:sp>
    <xdr:clientData/>
  </xdr:twoCellAnchor>
  <xdr:twoCellAnchor>
    <xdr:from>
      <xdr:col>2</xdr:col>
      <xdr:colOff>509002</xdr:colOff>
      <xdr:row>54</xdr:row>
      <xdr:rowOff>17013</xdr:rowOff>
    </xdr:from>
    <xdr:to>
      <xdr:col>2</xdr:col>
      <xdr:colOff>1247775</xdr:colOff>
      <xdr:row>55</xdr:row>
      <xdr:rowOff>180375</xdr:rowOff>
    </xdr:to>
    <xdr:sp macro="" textlink="">
      <xdr:nvSpPr>
        <xdr:cNvPr id="11" name="ZoneTexte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/>
      </xdr:nvSpPr>
      <xdr:spPr>
        <a:xfrm>
          <a:off x="1642477" y="11132688"/>
          <a:ext cx="738773" cy="3538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2000" b="1" baseline="0">
              <a:solidFill>
                <a:schemeClr val="bg1"/>
              </a:solidFill>
            </a:rPr>
            <a:t>91 </a:t>
          </a:r>
          <a:r>
            <a:rPr lang="fr-FR" sz="2000" b="1">
              <a:solidFill>
                <a:schemeClr val="bg1"/>
              </a:solidFill>
            </a:rPr>
            <a:t>%</a:t>
          </a:r>
        </a:p>
      </xdr:txBody>
    </xdr:sp>
    <xdr:clientData/>
  </xdr:twoCellAnchor>
  <xdr:twoCellAnchor>
    <xdr:from>
      <xdr:col>3</xdr:col>
      <xdr:colOff>161926</xdr:colOff>
      <xdr:row>59</xdr:row>
      <xdr:rowOff>105710</xdr:rowOff>
    </xdr:from>
    <xdr:to>
      <xdr:col>3</xdr:col>
      <xdr:colOff>942976</xdr:colOff>
      <xdr:row>61</xdr:row>
      <xdr:rowOff>113619</xdr:rowOff>
    </xdr:to>
    <xdr:sp macro="" textlink="">
      <xdr:nvSpPr>
        <xdr:cNvPr id="12" name="ZoneTexte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 txBox="1"/>
      </xdr:nvSpPr>
      <xdr:spPr>
        <a:xfrm>
          <a:off x="3448051" y="12173885"/>
          <a:ext cx="781050" cy="3889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600" b="1">
              <a:solidFill>
                <a:schemeClr val="bg1"/>
              </a:solidFill>
            </a:rPr>
            <a:t>2%</a:t>
          </a:r>
        </a:p>
      </xdr:txBody>
    </xdr:sp>
    <xdr:clientData/>
  </xdr:twoCellAnchor>
  <xdr:twoCellAnchor>
    <xdr:from>
      <xdr:col>2</xdr:col>
      <xdr:colOff>2063781</xdr:colOff>
      <xdr:row>64</xdr:row>
      <xdr:rowOff>37306</xdr:rowOff>
    </xdr:from>
    <xdr:to>
      <xdr:col>3</xdr:col>
      <xdr:colOff>676274</xdr:colOff>
      <xdr:row>66</xdr:row>
      <xdr:rowOff>38204</xdr:rowOff>
    </xdr:to>
    <xdr:sp macro="" textlink="">
      <xdr:nvSpPr>
        <xdr:cNvPr id="13" name="ZoneTexte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 txBox="1"/>
      </xdr:nvSpPr>
      <xdr:spPr>
        <a:xfrm>
          <a:off x="3197256" y="13057981"/>
          <a:ext cx="765143" cy="38189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2000" b="1">
              <a:solidFill>
                <a:schemeClr val="bg1"/>
              </a:solidFill>
            </a:rPr>
            <a:t>16 %</a:t>
          </a:r>
        </a:p>
      </xdr:txBody>
    </xdr:sp>
    <xdr:clientData/>
  </xdr:twoCellAnchor>
  <xdr:twoCellAnchor>
    <xdr:from>
      <xdr:col>10</xdr:col>
      <xdr:colOff>123824</xdr:colOff>
      <xdr:row>54</xdr:row>
      <xdr:rowOff>47625</xdr:rowOff>
    </xdr:from>
    <xdr:to>
      <xdr:col>19</xdr:col>
      <xdr:colOff>838200</xdr:colOff>
      <xdr:row>86</xdr:row>
      <xdr:rowOff>57150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240DE401-5B0B-4E7A-B3D0-66D1AEA2A9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1"/>
  <sheetViews>
    <sheetView tabSelected="1" topLeftCell="G3" workbookViewId="0">
      <selection activeCell="S14" sqref="S14"/>
    </sheetView>
  </sheetViews>
  <sheetFormatPr baseColWidth="10" defaultColWidth="15.7109375" defaultRowHeight="15" x14ac:dyDescent="0.25"/>
  <cols>
    <col min="1" max="1" width="15.7109375" customWidth="1"/>
  </cols>
  <sheetData>
    <row r="1" spans="1:17" ht="15.75" thickBot="1" x14ac:dyDescent="0.3">
      <c r="A1" s="35"/>
      <c r="B1" s="167" t="s">
        <v>22</v>
      </c>
      <c r="C1" s="168"/>
      <c r="D1" s="168"/>
      <c r="E1" s="169"/>
      <c r="F1" s="167" t="s">
        <v>23</v>
      </c>
      <c r="G1" s="168"/>
      <c r="H1" s="168"/>
      <c r="I1" s="168"/>
      <c r="J1" s="168"/>
      <c r="K1" s="168"/>
      <c r="L1" s="169"/>
    </row>
    <row r="2" spans="1:17" ht="45.75" thickBot="1" x14ac:dyDescent="0.3">
      <c r="A2" s="36" t="s">
        <v>21</v>
      </c>
      <c r="B2" s="43" t="s">
        <v>0</v>
      </c>
      <c r="C2" s="44" t="s">
        <v>1</v>
      </c>
      <c r="D2" s="44" t="s">
        <v>2</v>
      </c>
      <c r="E2" s="45" t="s">
        <v>3</v>
      </c>
      <c r="F2" s="43" t="s">
        <v>4</v>
      </c>
      <c r="G2" s="44" t="s">
        <v>5</v>
      </c>
      <c r="H2" s="44" t="s">
        <v>6</v>
      </c>
      <c r="I2" s="44" t="s">
        <v>7</v>
      </c>
      <c r="J2" s="44" t="s">
        <v>8</v>
      </c>
      <c r="K2" s="44" t="s">
        <v>9</v>
      </c>
      <c r="L2" s="53" t="s">
        <v>3</v>
      </c>
      <c r="M2" s="67" t="s">
        <v>24</v>
      </c>
      <c r="N2" s="68" t="s">
        <v>25</v>
      </c>
      <c r="O2" s="68" t="s">
        <v>26</v>
      </c>
      <c r="P2" s="68" t="s">
        <v>27</v>
      </c>
      <c r="Q2" s="69" t="s">
        <v>28</v>
      </c>
    </row>
    <row r="3" spans="1:17" x14ac:dyDescent="0.25">
      <c r="A3" s="104">
        <v>2022</v>
      </c>
      <c r="B3" s="10">
        <v>100244.38723434717</v>
      </c>
      <c r="C3" s="11">
        <v>161081.76105516014</v>
      </c>
      <c r="D3" s="11">
        <v>487110.85171053262</v>
      </c>
      <c r="E3" s="12">
        <v>748437.00000003981</v>
      </c>
      <c r="F3" s="7">
        <v>20182.771656614103</v>
      </c>
      <c r="G3" s="6">
        <v>95593.122542181067</v>
      </c>
      <c r="H3" s="6">
        <v>87837.106905593653</v>
      </c>
      <c r="I3" s="6">
        <v>60882.910626922567</v>
      </c>
      <c r="J3" s="6">
        <v>26235.941244521524</v>
      </c>
      <c r="K3" s="6">
        <v>457705.14702420682</v>
      </c>
      <c r="L3" s="54">
        <v>748437.00000003958</v>
      </c>
      <c r="M3" s="62">
        <f>L3-K3</f>
        <v>290731.85297583276</v>
      </c>
      <c r="N3" s="63">
        <f>SUM(F3:J3)/L3</f>
        <v>0.38845200461203488</v>
      </c>
      <c r="O3" s="64">
        <f>M3-M4</f>
        <v>673.1257969676517</v>
      </c>
      <c r="P3" s="65">
        <f>O3/M4</f>
        <v>2.3206534880523271E-3</v>
      </c>
      <c r="Q3" s="66">
        <f>(L3-L4)/L4</f>
        <v>1.6858031409450917E-2</v>
      </c>
    </row>
    <row r="4" spans="1:17" x14ac:dyDescent="0.25">
      <c r="A4" s="105">
        <v>2017</v>
      </c>
      <c r="B4" s="13">
        <v>101082.20269803068</v>
      </c>
      <c r="C4" s="2">
        <v>159385.81848913524</v>
      </c>
      <c r="D4" s="2">
        <v>475560.97881261102</v>
      </c>
      <c r="E4" s="3">
        <v>736028.99999977613</v>
      </c>
      <c r="F4" s="8">
        <v>20727.711418734099</v>
      </c>
      <c r="G4" s="2">
        <v>95154.963231001268</v>
      </c>
      <c r="H4" s="2">
        <v>86823.039211772892</v>
      </c>
      <c r="I4" s="2">
        <v>60986.480607042577</v>
      </c>
      <c r="J4" s="2">
        <v>26366.532710314936</v>
      </c>
      <c r="K4" s="2">
        <v>445970.27282091149</v>
      </c>
      <c r="L4" s="55">
        <v>736028.9999997766</v>
      </c>
      <c r="M4" s="24">
        <f>L4-K4</f>
        <v>290058.72717886511</v>
      </c>
      <c r="N4" s="57">
        <f>SUM(F4:J4)/L4</f>
        <v>0.39408600364789131</v>
      </c>
      <c r="O4" s="25">
        <f>M4-M5</f>
        <v>11893.700039886578</v>
      </c>
      <c r="P4" s="58">
        <f>O4/M5</f>
        <v>4.2757711716017319E-2</v>
      </c>
      <c r="Q4" s="59">
        <f>(L4-L5)/L5</f>
        <v>4.8649133834170424E-2</v>
      </c>
    </row>
    <row r="5" spans="1:17" x14ac:dyDescent="0.25">
      <c r="A5" s="105">
        <v>2012</v>
      </c>
      <c r="B5" s="13">
        <v>96966.74482154657</v>
      </c>
      <c r="C5" s="2">
        <v>152068.68995956107</v>
      </c>
      <c r="D5" s="2">
        <v>452847.5652158864</v>
      </c>
      <c r="E5" s="3">
        <v>701882.99999699381</v>
      </c>
      <c r="F5" s="8">
        <v>19308.710951415898</v>
      </c>
      <c r="G5" s="2">
        <v>90675.62361394988</v>
      </c>
      <c r="H5" s="2">
        <v>83611.745654520346</v>
      </c>
      <c r="I5" s="2">
        <v>58612.641116408748</v>
      </c>
      <c r="J5" s="2">
        <v>25956.305802683826</v>
      </c>
      <c r="K5" s="2">
        <v>423717.97285801527</v>
      </c>
      <c r="L5" s="55">
        <v>701882.99999699381</v>
      </c>
      <c r="M5" s="24">
        <f>L5-K5</f>
        <v>278165.02713897853</v>
      </c>
      <c r="N5" s="57">
        <f>SUM(F5:J5)/L5</f>
        <v>0.39631252949589901</v>
      </c>
      <c r="O5" s="25">
        <f>M5-M6</f>
        <v>12120.148238978058</v>
      </c>
      <c r="P5" s="58">
        <f>O5/M6</f>
        <v>4.5556780829950551E-2</v>
      </c>
      <c r="Q5" s="59">
        <f>(L5-L6)/L6</f>
        <v>5.8725229954438962E-2</v>
      </c>
    </row>
    <row r="6" spans="1:17" ht="15.75" thickBot="1" x14ac:dyDescent="0.3">
      <c r="A6" s="106">
        <v>2007</v>
      </c>
      <c r="B6" s="14">
        <v>90871.120395000005</v>
      </c>
      <c r="C6" s="4">
        <v>147783.24978800002</v>
      </c>
      <c r="D6" s="4">
        <v>424296.67711299978</v>
      </c>
      <c r="E6" s="5">
        <v>662951.04729599971</v>
      </c>
      <c r="F6" s="9">
        <v>18841.763504000002</v>
      </c>
      <c r="G6" s="4">
        <v>85514.829235999918</v>
      </c>
      <c r="H6" s="4">
        <v>80402.836182000086</v>
      </c>
      <c r="I6" s="4">
        <v>56937.266601000032</v>
      </c>
      <c r="J6" s="4">
        <v>24348.183377000136</v>
      </c>
      <c r="K6" s="4">
        <v>396906.16839599959</v>
      </c>
      <c r="L6" s="56">
        <v>662951.04729600006</v>
      </c>
      <c r="M6" s="28">
        <f>L6-K6</f>
        <v>266044.87890000048</v>
      </c>
      <c r="N6" s="60">
        <f>SUM(F6:J6)/L6</f>
        <v>0.40130395748694575</v>
      </c>
      <c r="O6" s="29"/>
      <c r="P6" s="61"/>
      <c r="Q6" s="16"/>
    </row>
    <row r="30" spans="1:11" x14ac:dyDescent="0.25">
      <c r="A30" s="107" t="s">
        <v>45</v>
      </c>
      <c r="B30" s="108">
        <v>2007</v>
      </c>
      <c r="C30" s="108" t="s">
        <v>38</v>
      </c>
      <c r="D30" s="108">
        <v>2012</v>
      </c>
      <c r="E30" s="108" t="s">
        <v>38</v>
      </c>
      <c r="F30" s="108">
        <v>2017</v>
      </c>
      <c r="G30" s="108" t="s">
        <v>38</v>
      </c>
      <c r="H30" s="108">
        <v>2022</v>
      </c>
      <c r="I30" s="108" t="s">
        <v>54</v>
      </c>
      <c r="J30" s="74"/>
      <c r="K30" s="80"/>
    </row>
    <row r="31" spans="1:11" ht="30" customHeight="1" x14ac:dyDescent="0.25">
      <c r="A31" s="93" t="s">
        <v>46</v>
      </c>
      <c r="B31" s="84">
        <f>L6</f>
        <v>662951.04729600006</v>
      </c>
      <c r="C31" s="88" t="s">
        <v>39</v>
      </c>
      <c r="D31" s="84">
        <f>L5</f>
        <v>701882.99999699381</v>
      </c>
      <c r="E31" s="88" t="s">
        <v>40</v>
      </c>
      <c r="F31" s="84">
        <f>L4</f>
        <v>736028.9999997766</v>
      </c>
      <c r="G31" s="92" t="s">
        <v>43</v>
      </c>
      <c r="H31" s="84">
        <f>L3</f>
        <v>748437.00000003958</v>
      </c>
      <c r="I31" s="88" t="s">
        <v>51</v>
      </c>
      <c r="J31" s="76"/>
      <c r="K31" s="86"/>
    </row>
    <row r="32" spans="1:11" ht="30" customHeight="1" x14ac:dyDescent="0.25">
      <c r="A32" s="93" t="s">
        <v>47</v>
      </c>
      <c r="B32" s="84">
        <f>M6</f>
        <v>266044.87890000048</v>
      </c>
      <c r="C32" s="89" t="s">
        <v>41</v>
      </c>
      <c r="D32" s="84">
        <f>M5</f>
        <v>278165.02713897853</v>
      </c>
      <c r="E32" s="89" t="s">
        <v>42</v>
      </c>
      <c r="F32" s="84">
        <f>M4</f>
        <v>290058.72717886511</v>
      </c>
      <c r="G32" s="89" t="s">
        <v>44</v>
      </c>
      <c r="H32" s="84">
        <f>M3</f>
        <v>290731.85297583276</v>
      </c>
      <c r="I32" s="88" t="s">
        <v>52</v>
      </c>
      <c r="J32" s="74"/>
      <c r="K32" s="87"/>
    </row>
    <row r="33" spans="1:11" ht="30" customHeight="1" x14ac:dyDescent="0.25">
      <c r="A33" s="94" t="s">
        <v>55</v>
      </c>
      <c r="B33" s="85">
        <f>B32/B31</f>
        <v>0.40130395748694619</v>
      </c>
      <c r="C33" s="90" t="s">
        <v>48</v>
      </c>
      <c r="D33" s="85">
        <f>D32/D31</f>
        <v>0.39631252949589879</v>
      </c>
      <c r="E33" s="90" t="s">
        <v>49</v>
      </c>
      <c r="F33" s="85">
        <f>F32/F31</f>
        <v>0.39408600364789043</v>
      </c>
      <c r="G33" s="91" t="s">
        <v>50</v>
      </c>
      <c r="H33" s="85">
        <f>H32/H31</f>
        <v>0.38845200461203466</v>
      </c>
      <c r="I33" s="90" t="s">
        <v>53</v>
      </c>
      <c r="J33" s="74"/>
      <c r="K33" s="81"/>
    </row>
    <row r="36" spans="1:11" x14ac:dyDescent="0.25">
      <c r="D36" s="83"/>
    </row>
    <row r="37" spans="1:11" x14ac:dyDescent="0.25">
      <c r="D37" s="83"/>
    </row>
    <row r="38" spans="1:11" x14ac:dyDescent="0.25">
      <c r="D38" s="83"/>
    </row>
    <row r="39" spans="1:11" x14ac:dyDescent="0.25">
      <c r="B39" s="82"/>
      <c r="C39" s="83"/>
      <c r="D39" s="83"/>
    </row>
    <row r="40" spans="1:11" x14ac:dyDescent="0.25">
      <c r="B40" s="82"/>
      <c r="C40" s="83"/>
      <c r="D40" s="83"/>
    </row>
    <row r="41" spans="1:11" x14ac:dyDescent="0.25">
      <c r="B41" s="82"/>
      <c r="C41" s="83"/>
      <c r="D41" s="83"/>
    </row>
  </sheetData>
  <mergeCells count="2">
    <mergeCell ref="B1:E1"/>
    <mergeCell ref="F1:L1"/>
  </mergeCells>
  <pageMargins left="0.7" right="0.7" top="0.75" bottom="0.75" header="0.3" footer="0.3"/>
  <pageSetup paperSize="9" scale="9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84"/>
  <sheetViews>
    <sheetView topLeftCell="J54" zoomScale="75" zoomScaleNormal="75" workbookViewId="0">
      <selection activeCell="Y80" sqref="Y80"/>
    </sheetView>
  </sheetViews>
  <sheetFormatPr baseColWidth="10" defaultColWidth="15.7109375" defaultRowHeight="15" x14ac:dyDescent="0.25"/>
  <cols>
    <col min="1" max="1" width="6.85546875" bestFit="1" customWidth="1"/>
    <col min="2" max="2" width="10.140625" bestFit="1" customWidth="1"/>
    <col min="3" max="3" width="32.28515625" bestFit="1" customWidth="1"/>
  </cols>
  <sheetData>
    <row r="1" spans="1:19" ht="15.75" thickBot="1" x14ac:dyDescent="0.3">
      <c r="A1" s="37"/>
      <c r="B1" s="38"/>
      <c r="C1" s="39"/>
      <c r="D1" s="167" t="s">
        <v>22</v>
      </c>
      <c r="E1" s="168"/>
      <c r="F1" s="168"/>
      <c r="G1" s="169"/>
      <c r="H1" s="167" t="s">
        <v>23</v>
      </c>
      <c r="I1" s="168"/>
      <c r="J1" s="168"/>
      <c r="K1" s="168"/>
      <c r="L1" s="168"/>
      <c r="M1" s="168"/>
      <c r="N1" s="169"/>
    </row>
    <row r="2" spans="1:19" ht="45.75" thickBot="1" x14ac:dyDescent="0.3">
      <c r="A2" s="40" t="s">
        <v>21</v>
      </c>
      <c r="B2" s="41" t="s">
        <v>19</v>
      </c>
      <c r="C2" s="42" t="s">
        <v>20</v>
      </c>
      <c r="D2" s="46" t="s">
        <v>0</v>
      </c>
      <c r="E2" s="47" t="s">
        <v>1</v>
      </c>
      <c r="F2" s="47" t="s">
        <v>2</v>
      </c>
      <c r="G2" s="48" t="s">
        <v>3</v>
      </c>
      <c r="H2" s="49" t="s">
        <v>4</v>
      </c>
      <c r="I2" s="47" t="s">
        <v>5</v>
      </c>
      <c r="J2" s="47" t="s">
        <v>6</v>
      </c>
      <c r="K2" s="47" t="s">
        <v>7</v>
      </c>
      <c r="L2" s="47" t="s">
        <v>8</v>
      </c>
      <c r="M2" s="47" t="s">
        <v>9</v>
      </c>
      <c r="N2" s="48" t="s">
        <v>3</v>
      </c>
      <c r="O2" s="156" t="s">
        <v>24</v>
      </c>
      <c r="P2" s="161" t="s">
        <v>25</v>
      </c>
      <c r="Q2" s="75"/>
      <c r="R2" s="75"/>
      <c r="S2" s="75"/>
    </row>
    <row r="3" spans="1:19" x14ac:dyDescent="0.25">
      <c r="A3" s="121">
        <v>2022</v>
      </c>
      <c r="B3" s="34">
        <v>1</v>
      </c>
      <c r="C3" s="117" t="s">
        <v>10</v>
      </c>
      <c r="D3" s="20">
        <v>21811.047258203231</v>
      </c>
      <c r="E3" s="21">
        <v>28185.794247693218</v>
      </c>
      <c r="F3" s="21">
        <v>147742.4199917347</v>
      </c>
      <c r="G3" s="22">
        <v>197739.2614976312</v>
      </c>
      <c r="H3" s="20">
        <v>251.34285292870001</v>
      </c>
      <c r="I3" s="21">
        <v>20593.301355424937</v>
      </c>
      <c r="J3" s="21">
        <v>11019.598320192559</v>
      </c>
      <c r="K3" s="21">
        <v>20259.507644386198</v>
      </c>
      <c r="L3" s="21">
        <v>2620.4428128769991</v>
      </c>
      <c r="M3" s="21">
        <v>142995.06851182171</v>
      </c>
      <c r="N3" s="22">
        <v>197739.26149763112</v>
      </c>
      <c r="O3" s="157">
        <f>N3-M3</f>
        <v>54744.192985809408</v>
      </c>
      <c r="P3" s="162">
        <f>SUM(H3:L3)/N3</f>
        <v>0.27685039668495592</v>
      </c>
      <c r="Q3" s="76"/>
      <c r="R3" s="78"/>
      <c r="S3" s="78"/>
    </row>
    <row r="4" spans="1:19" x14ac:dyDescent="0.25">
      <c r="A4" s="109">
        <v>2022</v>
      </c>
      <c r="B4" s="1">
        <v>2</v>
      </c>
      <c r="C4" s="118" t="s">
        <v>11</v>
      </c>
      <c r="D4" s="24">
        <v>10336.120101359</v>
      </c>
      <c r="E4" s="25">
        <v>19988.317096831401</v>
      </c>
      <c r="F4" s="25">
        <v>40582.746504645038</v>
      </c>
      <c r="G4" s="26">
        <v>70907.183702835435</v>
      </c>
      <c r="H4" s="24">
        <v>0</v>
      </c>
      <c r="I4" s="25">
        <v>12119.654044386099</v>
      </c>
      <c r="J4" s="25">
        <v>9958.0527646955197</v>
      </c>
      <c r="K4" s="25">
        <v>8246.7303891087467</v>
      </c>
      <c r="L4" s="25">
        <v>5856.4149302973337</v>
      </c>
      <c r="M4" s="25">
        <v>34726.3315743477</v>
      </c>
      <c r="N4" s="26">
        <v>70907.183702835406</v>
      </c>
      <c r="O4" s="158">
        <f>N4-M4</f>
        <v>36180.852128487706</v>
      </c>
      <c r="P4" s="163">
        <f>SUM(H4:L4)/N4</f>
        <v>0.51025651054084831</v>
      </c>
      <c r="Q4" s="76"/>
      <c r="R4" s="78"/>
      <c r="S4" s="78"/>
    </row>
    <row r="5" spans="1:19" s="115" customFormat="1" x14ac:dyDescent="0.25">
      <c r="A5" s="109">
        <v>2022</v>
      </c>
      <c r="B5" s="108">
        <v>3</v>
      </c>
      <c r="C5" s="119" t="s">
        <v>12</v>
      </c>
      <c r="D5" s="110">
        <v>51122.824808695499</v>
      </c>
      <c r="E5" s="111">
        <v>103905.12021780231</v>
      </c>
      <c r="F5" s="111">
        <v>149435.64841599931</v>
      </c>
      <c r="G5" s="112">
        <v>304463.59344249713</v>
      </c>
      <c r="H5" s="110">
        <v>19931.428803685401</v>
      </c>
      <c r="I5" s="111">
        <v>46872.887674156402</v>
      </c>
      <c r="J5" s="111">
        <v>61653.244031162401</v>
      </c>
      <c r="K5" s="111">
        <v>26570.384517493902</v>
      </c>
      <c r="L5" s="111">
        <v>2257.2925897457339</v>
      </c>
      <c r="M5" s="111">
        <v>147178.3558262533</v>
      </c>
      <c r="N5" s="112">
        <v>304463.59344249713</v>
      </c>
      <c r="O5" s="159">
        <f t="shared" ref="O5:O11" si="0">N5-M5</f>
        <v>157285.23761624383</v>
      </c>
      <c r="P5" s="164">
        <f t="shared" ref="P5:P11" si="1">SUM(H5:L5)/N5</f>
        <v>0.51659784947637655</v>
      </c>
      <c r="Q5" s="154"/>
      <c r="R5" s="155"/>
      <c r="S5" s="155"/>
    </row>
    <row r="6" spans="1:19" x14ac:dyDescent="0.25">
      <c r="A6" s="109">
        <v>2022</v>
      </c>
      <c r="B6" s="1">
        <v>4</v>
      </c>
      <c r="C6" s="118" t="s">
        <v>13</v>
      </c>
      <c r="D6" s="24">
        <v>23010.866384563902</v>
      </c>
      <c r="E6" s="25">
        <v>24475.548582596301</v>
      </c>
      <c r="F6" s="25">
        <v>88375.298346099793</v>
      </c>
      <c r="G6" s="26">
        <v>135861.71331326</v>
      </c>
      <c r="H6" s="24">
        <v>0</v>
      </c>
      <c r="I6" s="25">
        <v>25063.370009869101</v>
      </c>
      <c r="J6" s="25">
        <v>15178.386657720301</v>
      </c>
      <c r="K6" s="25">
        <v>8287.5130743388199</v>
      </c>
      <c r="L6" s="25">
        <v>9407.4447037140199</v>
      </c>
      <c r="M6" s="25">
        <v>77924.998867617498</v>
      </c>
      <c r="N6" s="26">
        <v>135861.71331325974</v>
      </c>
      <c r="O6" s="158">
        <f t="shared" si="0"/>
        <v>57936.714445642239</v>
      </c>
      <c r="P6" s="163">
        <f t="shared" si="1"/>
        <v>0.42643886222791938</v>
      </c>
      <c r="Q6" s="76"/>
      <c r="R6" s="74"/>
      <c r="S6" s="74"/>
    </row>
    <row r="7" spans="1:19" x14ac:dyDescent="0.25">
      <c r="A7" s="109">
        <v>2022</v>
      </c>
      <c r="B7" s="1">
        <v>6</v>
      </c>
      <c r="C7" s="118" t="s">
        <v>14</v>
      </c>
      <c r="D7" s="24">
        <v>335.32175689289949</v>
      </c>
      <c r="E7" s="25">
        <v>41.192543411399967</v>
      </c>
      <c r="F7" s="25">
        <v>13358.14504035169</v>
      </c>
      <c r="G7" s="26">
        <v>13734.659340656</v>
      </c>
      <c r="H7" s="24">
        <v>0</v>
      </c>
      <c r="I7" s="25">
        <v>267.39019407399962</v>
      </c>
      <c r="J7" s="25">
        <v>19.5122574054</v>
      </c>
      <c r="K7" s="25">
        <v>89.611848824899909</v>
      </c>
      <c r="L7" s="25">
        <v>3811.8429383592029</v>
      </c>
      <c r="M7" s="25">
        <v>9546.3021019924981</v>
      </c>
      <c r="N7" s="26">
        <v>13734.659340656</v>
      </c>
      <c r="O7" s="158">
        <f t="shared" si="0"/>
        <v>4188.3572386635024</v>
      </c>
      <c r="P7" s="163">
        <f t="shared" si="1"/>
        <v>0.3049480249040859</v>
      </c>
    </row>
    <row r="8" spans="1:19" x14ac:dyDescent="0.25">
      <c r="A8" s="109">
        <v>2022</v>
      </c>
      <c r="B8" s="1">
        <v>7</v>
      </c>
      <c r="C8" s="118" t="s">
        <v>15</v>
      </c>
      <c r="D8" s="24">
        <v>9923.2800824790993</v>
      </c>
      <c r="E8" s="25">
        <v>10815.503674909498</v>
      </c>
      <c r="F8" s="25">
        <v>80557.006374384786</v>
      </c>
      <c r="G8" s="26">
        <v>101295.79013177339</v>
      </c>
      <c r="H8" s="24">
        <v>0</v>
      </c>
      <c r="I8" s="25">
        <v>9193.6926293343004</v>
      </c>
      <c r="J8" s="25">
        <v>3636.6004326780999</v>
      </c>
      <c r="K8" s="25">
        <v>8776.3957002468087</v>
      </c>
      <c r="L8" s="25">
        <v>1643.6920857509999</v>
      </c>
      <c r="M8" s="25">
        <v>78045.409283763191</v>
      </c>
      <c r="N8" s="26">
        <v>101295.79013177341</v>
      </c>
      <c r="O8" s="158">
        <f t="shared" si="0"/>
        <v>23250.380848010216</v>
      </c>
      <c r="P8" s="163">
        <f t="shared" si="1"/>
        <v>0.22952958674555296</v>
      </c>
    </row>
    <row r="9" spans="1:19" x14ac:dyDescent="0.25">
      <c r="A9" s="109">
        <v>2022</v>
      </c>
      <c r="B9" s="1">
        <v>8</v>
      </c>
      <c r="C9" s="118" t="s">
        <v>16</v>
      </c>
      <c r="D9" s="24">
        <v>0</v>
      </c>
      <c r="E9" s="25">
        <v>0</v>
      </c>
      <c r="F9" s="25">
        <v>15809.82561305849</v>
      </c>
      <c r="G9" s="26">
        <v>15809.82561305849</v>
      </c>
      <c r="H9" s="24">
        <v>0</v>
      </c>
      <c r="I9" s="25">
        <v>585.71661017259999</v>
      </c>
      <c r="J9" s="25">
        <v>11.891553142599999</v>
      </c>
      <c r="K9" s="25">
        <v>0</v>
      </c>
      <c r="L9" s="25">
        <v>384.47898054780001</v>
      </c>
      <c r="M9" s="25">
        <v>14827.73846919549</v>
      </c>
      <c r="N9" s="26">
        <v>15809.82561305849</v>
      </c>
      <c r="O9" s="158">
        <f t="shared" si="0"/>
        <v>982.08714386300016</v>
      </c>
      <c r="P9" s="163">
        <f t="shared" si="1"/>
        <v>6.2118784096633073E-2</v>
      </c>
    </row>
    <row r="10" spans="1:19" x14ac:dyDescent="0.25">
      <c r="A10" s="109">
        <v>2022</v>
      </c>
      <c r="B10" s="1">
        <v>9</v>
      </c>
      <c r="C10" s="118" t="s">
        <v>17</v>
      </c>
      <c r="D10" s="24">
        <v>1116.300669842798</v>
      </c>
      <c r="E10" s="25">
        <v>1570.884571727197</v>
      </c>
      <c r="F10" s="25">
        <v>39283.993329984922</v>
      </c>
      <c r="G10" s="26">
        <v>41971.178571554919</v>
      </c>
      <c r="H10" s="24">
        <v>0</v>
      </c>
      <c r="I10" s="25">
        <v>789.7698832686998</v>
      </c>
      <c r="J10" s="25">
        <v>1283.394335037098</v>
      </c>
      <c r="K10" s="25">
        <v>788.97079316169936</v>
      </c>
      <c r="L10" s="25">
        <v>11769.539599759901</v>
      </c>
      <c r="M10" s="25">
        <v>27339.50396032738</v>
      </c>
      <c r="N10" s="26">
        <v>41971.178571554767</v>
      </c>
      <c r="O10" s="158">
        <f t="shared" si="0"/>
        <v>14631.674611227387</v>
      </c>
      <c r="P10" s="163">
        <f t="shared" si="1"/>
        <v>0.3486124314160613</v>
      </c>
    </row>
    <row r="11" spans="1:19" ht="15.75" thickBot="1" x14ac:dyDescent="0.3">
      <c r="A11" s="122">
        <v>2022</v>
      </c>
      <c r="B11" s="19">
        <v>10</v>
      </c>
      <c r="C11" s="120" t="s">
        <v>18</v>
      </c>
      <c r="D11" s="28">
        <v>0</v>
      </c>
      <c r="E11" s="29">
        <v>0</v>
      </c>
      <c r="F11" s="29">
        <v>870.00000002900015</v>
      </c>
      <c r="G11" s="30">
        <v>870.00000002900015</v>
      </c>
      <c r="H11" s="28">
        <v>0</v>
      </c>
      <c r="I11" s="29">
        <v>0</v>
      </c>
      <c r="J11" s="29">
        <v>0</v>
      </c>
      <c r="K11" s="29">
        <v>0</v>
      </c>
      <c r="L11" s="29">
        <v>185.15412381089979</v>
      </c>
      <c r="M11" s="29">
        <v>684.84587621810192</v>
      </c>
      <c r="N11" s="30">
        <v>870.00000002900163</v>
      </c>
      <c r="O11" s="160">
        <f t="shared" si="0"/>
        <v>185.1541238108997</v>
      </c>
      <c r="P11" s="165">
        <f t="shared" si="1"/>
        <v>0.21282083195945706</v>
      </c>
    </row>
    <row r="12" spans="1:19" x14ac:dyDescent="0.25">
      <c r="A12" s="123">
        <v>2017</v>
      </c>
      <c r="B12" s="18">
        <v>1</v>
      </c>
      <c r="C12" s="116" t="s">
        <v>10</v>
      </c>
      <c r="D12" s="62">
        <v>22029.758200941127</v>
      </c>
      <c r="E12" s="70">
        <v>27765.759373179124</v>
      </c>
      <c r="F12" s="70">
        <v>143018.53183222251</v>
      </c>
      <c r="G12" s="97">
        <v>192814.04940634273</v>
      </c>
      <c r="H12" s="70">
        <v>296.29634500990011</v>
      </c>
      <c r="I12" s="70">
        <v>20853.971423940729</v>
      </c>
      <c r="J12" s="70">
        <v>10688.048482708389</v>
      </c>
      <c r="K12" s="70">
        <v>20160.933934957149</v>
      </c>
      <c r="L12" s="70">
        <v>2845.9151700458078</v>
      </c>
      <c r="M12" s="70">
        <v>137968.8840496807</v>
      </c>
      <c r="N12" s="70">
        <v>192814.04940634264</v>
      </c>
      <c r="O12" s="20">
        <f t="shared" ref="O12:O38" si="2">N12-M12</f>
        <v>54845.16535666195</v>
      </c>
      <c r="P12" s="71">
        <f t="shared" ref="P12:P38" si="3">SUM(H12:L12)/N12</f>
        <v>0.28444589761755112</v>
      </c>
    </row>
    <row r="13" spans="1:19" x14ac:dyDescent="0.25">
      <c r="A13" s="109">
        <v>2017</v>
      </c>
      <c r="B13" s="1">
        <v>2</v>
      </c>
      <c r="C13" s="15" t="s">
        <v>11</v>
      </c>
      <c r="D13" s="24">
        <v>10013.2922461334</v>
      </c>
      <c r="E13" s="25">
        <v>19313.417124339299</v>
      </c>
      <c r="F13" s="25">
        <v>38992.781569518622</v>
      </c>
      <c r="G13" s="26">
        <v>68319.490939991316</v>
      </c>
      <c r="H13" s="27">
        <v>0</v>
      </c>
      <c r="I13" s="25">
        <v>11797.625497721201</v>
      </c>
      <c r="J13" s="25">
        <v>9764.8536992052195</v>
      </c>
      <c r="K13" s="25">
        <v>7764.2301735462406</v>
      </c>
      <c r="L13" s="25">
        <v>5895.1928935568376</v>
      </c>
      <c r="M13" s="25">
        <v>33097.588675961793</v>
      </c>
      <c r="N13" s="26">
        <v>68319.490939991287</v>
      </c>
      <c r="O13" s="24">
        <f t="shared" si="2"/>
        <v>35221.902264029493</v>
      </c>
      <c r="P13" s="72">
        <f t="shared" si="3"/>
        <v>0.51554690732351616</v>
      </c>
    </row>
    <row r="14" spans="1:19" x14ac:dyDescent="0.25">
      <c r="A14" s="109">
        <v>2017</v>
      </c>
      <c r="B14" s="1">
        <v>3</v>
      </c>
      <c r="C14" s="15" t="s">
        <v>12</v>
      </c>
      <c r="D14" s="110">
        <v>51678.403222337394</v>
      </c>
      <c r="E14" s="111">
        <v>102916.1951009965</v>
      </c>
      <c r="F14" s="111">
        <v>146593.11478010041</v>
      </c>
      <c r="G14" s="112">
        <v>301187.7131034343</v>
      </c>
      <c r="H14" s="113">
        <v>20431.415073724202</v>
      </c>
      <c r="I14" s="111">
        <v>46266.692998007202</v>
      </c>
      <c r="J14" s="111">
        <v>61011.339464148303</v>
      </c>
      <c r="K14" s="111">
        <v>26885.150787454502</v>
      </c>
      <c r="L14" s="111">
        <v>2229.8866720087281</v>
      </c>
      <c r="M14" s="111">
        <v>144363.2281080914</v>
      </c>
      <c r="N14" s="112">
        <v>301187.7131034343</v>
      </c>
      <c r="O14" s="110">
        <f t="shared" si="2"/>
        <v>156824.48499534291</v>
      </c>
      <c r="P14" s="114">
        <f t="shared" si="3"/>
        <v>0.52068686129133712</v>
      </c>
    </row>
    <row r="15" spans="1:19" x14ac:dyDescent="0.25">
      <c r="A15" s="109">
        <v>2017</v>
      </c>
      <c r="B15" s="1">
        <v>4</v>
      </c>
      <c r="C15" s="15" t="s">
        <v>13</v>
      </c>
      <c r="D15" s="24">
        <v>22592.794931762401</v>
      </c>
      <c r="E15" s="25">
        <v>24049.062986503999</v>
      </c>
      <c r="F15" s="25">
        <v>85381.559356048252</v>
      </c>
      <c r="G15" s="26">
        <v>132023.41727431465</v>
      </c>
      <c r="H15" s="27">
        <v>0</v>
      </c>
      <c r="I15" s="25">
        <v>24538.687353656998</v>
      </c>
      <c r="J15" s="25">
        <v>14984.0651227256</v>
      </c>
      <c r="K15" s="25">
        <v>8139.5461107726305</v>
      </c>
      <c r="L15" s="25">
        <v>9234.8128694287807</v>
      </c>
      <c r="M15" s="25">
        <v>75126.305817730739</v>
      </c>
      <c r="N15" s="26">
        <v>132023.41727431474</v>
      </c>
      <c r="O15" s="24">
        <f t="shared" si="2"/>
        <v>56897.111456583996</v>
      </c>
      <c r="P15" s="72">
        <f t="shared" si="3"/>
        <v>0.43096226890086259</v>
      </c>
    </row>
    <row r="16" spans="1:19" x14ac:dyDescent="0.25">
      <c r="A16" s="109">
        <v>2017</v>
      </c>
      <c r="B16" s="1">
        <v>6</v>
      </c>
      <c r="C16" s="15" t="s">
        <v>14</v>
      </c>
      <c r="D16" s="24">
        <v>341.74850298389839</v>
      </c>
      <c r="E16" s="25">
        <v>42.371257484099992</v>
      </c>
      <c r="F16" s="25">
        <v>13832.22907113644</v>
      </c>
      <c r="G16" s="26">
        <v>14216.34883160443</v>
      </c>
      <c r="H16" s="27">
        <v>0</v>
      </c>
      <c r="I16" s="25">
        <v>268.81437125010012</v>
      </c>
      <c r="J16" s="25">
        <v>15.281437125299989</v>
      </c>
      <c r="K16" s="25">
        <v>100.0239520926001</v>
      </c>
      <c r="L16" s="25">
        <v>4060.3712260471011</v>
      </c>
      <c r="M16" s="25">
        <v>9771.857845089391</v>
      </c>
      <c r="N16" s="26">
        <v>14216.34883160449</v>
      </c>
      <c r="O16" s="24">
        <f t="shared" si="2"/>
        <v>4444.4909865150985</v>
      </c>
      <c r="P16" s="72">
        <f t="shared" si="3"/>
        <v>0.31263238115222064</v>
      </c>
    </row>
    <row r="17" spans="1:16" x14ac:dyDescent="0.25">
      <c r="A17" s="109">
        <v>2017</v>
      </c>
      <c r="B17" s="1">
        <v>7</v>
      </c>
      <c r="C17" s="15" t="s">
        <v>15</v>
      </c>
      <c r="D17" s="24">
        <v>10128.802669571609</v>
      </c>
      <c r="E17" s="25">
        <v>10913.320659282497</v>
      </c>
      <c r="F17" s="25">
        <v>79174.80697441347</v>
      </c>
      <c r="G17" s="26">
        <v>100216.93030326758</v>
      </c>
      <c r="H17" s="27">
        <v>0</v>
      </c>
      <c r="I17" s="25">
        <v>9336.9586793133003</v>
      </c>
      <c r="J17" s="25">
        <v>3676.8876602842001</v>
      </c>
      <c r="K17" s="25">
        <v>8876.925540990329</v>
      </c>
      <c r="L17" s="25">
        <v>1505.9425898636998</v>
      </c>
      <c r="M17" s="25">
        <v>76820.215832816088</v>
      </c>
      <c r="N17" s="26">
        <v>100216.93030326761</v>
      </c>
      <c r="O17" s="24">
        <f t="shared" si="2"/>
        <v>23396.714470451523</v>
      </c>
      <c r="P17" s="72">
        <f t="shared" si="3"/>
        <v>0.23346069770497321</v>
      </c>
    </row>
    <row r="18" spans="1:16" x14ac:dyDescent="0.25">
      <c r="A18" s="109">
        <v>2017</v>
      </c>
      <c r="B18" s="1">
        <v>8</v>
      </c>
      <c r="C18" s="15" t="s">
        <v>16</v>
      </c>
      <c r="D18" s="24">
        <v>0</v>
      </c>
      <c r="E18" s="25">
        <v>0</v>
      </c>
      <c r="F18" s="25">
        <v>15368.089552215361</v>
      </c>
      <c r="G18" s="26">
        <v>15368.089552215361</v>
      </c>
      <c r="H18" s="27">
        <v>0</v>
      </c>
      <c r="I18" s="25">
        <v>559.28151013210083</v>
      </c>
      <c r="J18" s="25">
        <v>11.3155855785</v>
      </c>
      <c r="K18" s="25">
        <v>0</v>
      </c>
      <c r="L18" s="25">
        <v>371.1790920959001</v>
      </c>
      <c r="M18" s="25">
        <v>14426.313364408859</v>
      </c>
      <c r="N18" s="26">
        <v>15368.089552215361</v>
      </c>
      <c r="O18" s="24">
        <f t="shared" si="2"/>
        <v>941.77618780650118</v>
      </c>
      <c r="P18" s="72">
        <f t="shared" si="3"/>
        <v>6.1281279277211193E-2</v>
      </c>
    </row>
    <row r="19" spans="1:16" x14ac:dyDescent="0.25">
      <c r="A19" s="109">
        <v>2017</v>
      </c>
      <c r="B19" s="1">
        <v>9</v>
      </c>
      <c r="C19" s="15" t="s">
        <v>17</v>
      </c>
      <c r="D19" s="24">
        <v>1135.3958864172009</v>
      </c>
      <c r="E19" s="25">
        <v>1514.6464551151039</v>
      </c>
      <c r="F19" s="25">
        <v>38507.060810441362</v>
      </c>
      <c r="G19" s="26">
        <v>41157.103151973657</v>
      </c>
      <c r="H19" s="27">
        <v>0</v>
      </c>
      <c r="I19" s="25">
        <v>788.06958973299925</v>
      </c>
      <c r="J19" s="25">
        <v>1235.0035523101019</v>
      </c>
      <c r="K19" s="25">
        <v>798.76131664429977</v>
      </c>
      <c r="L19" s="25">
        <v>11519.79122381699</v>
      </c>
      <c r="M19" s="25">
        <v>26815.477469469541</v>
      </c>
      <c r="N19" s="26">
        <v>41157.103151973934</v>
      </c>
      <c r="O19" s="24">
        <f t="shared" si="2"/>
        <v>14341.625682504393</v>
      </c>
      <c r="P19" s="72">
        <f t="shared" si="3"/>
        <v>0.3484605228299833</v>
      </c>
    </row>
    <row r="20" spans="1:16" ht="15.75" thickBot="1" x14ac:dyDescent="0.3">
      <c r="A20" s="122">
        <v>2017</v>
      </c>
      <c r="B20" s="19">
        <v>10</v>
      </c>
      <c r="C20" s="16" t="s">
        <v>18</v>
      </c>
      <c r="D20" s="28">
        <v>0</v>
      </c>
      <c r="E20" s="29">
        <v>0</v>
      </c>
      <c r="F20" s="29">
        <v>941.71858403750059</v>
      </c>
      <c r="G20" s="30">
        <v>941.71858403750059</v>
      </c>
      <c r="H20" s="31">
        <v>0</v>
      </c>
      <c r="I20" s="29">
        <v>0</v>
      </c>
      <c r="J20" s="29">
        <v>0</v>
      </c>
      <c r="K20" s="29">
        <v>0</v>
      </c>
      <c r="L20" s="29">
        <v>203.52264201200001</v>
      </c>
      <c r="M20" s="29">
        <v>738.19594202550184</v>
      </c>
      <c r="N20" s="30">
        <v>941.71858403750184</v>
      </c>
      <c r="O20" s="28">
        <f t="shared" si="2"/>
        <v>203.52264201200001</v>
      </c>
      <c r="P20" s="73">
        <f t="shared" si="3"/>
        <v>0.21611832394707756</v>
      </c>
    </row>
    <row r="21" spans="1:16" x14ac:dyDescent="0.25">
      <c r="A21" s="123">
        <v>2012</v>
      </c>
      <c r="B21" s="18">
        <v>1</v>
      </c>
      <c r="C21" s="116" t="s">
        <v>10</v>
      </c>
      <c r="D21" s="20">
        <v>21811.487041377135</v>
      </c>
      <c r="E21" s="23">
        <v>27566.433112664323</v>
      </c>
      <c r="F21" s="23">
        <v>136318.25146706362</v>
      </c>
      <c r="G21" s="96">
        <v>185696.17162110511</v>
      </c>
      <c r="H21" s="23">
        <v>267.59221901950002</v>
      </c>
      <c r="I21" s="23">
        <v>20892.152883210234</v>
      </c>
      <c r="J21" s="23">
        <v>10149.993963540845</v>
      </c>
      <c r="K21" s="23">
        <v>20215.543343861031</v>
      </c>
      <c r="L21" s="23">
        <v>2779.3759967605051</v>
      </c>
      <c r="M21" s="23">
        <v>131391.51321471299</v>
      </c>
      <c r="N21" s="23">
        <v>185696.17162110511</v>
      </c>
      <c r="O21" s="20">
        <f t="shared" si="2"/>
        <v>54304.658406392118</v>
      </c>
      <c r="P21" s="71">
        <f t="shared" si="3"/>
        <v>0.29243822278251091</v>
      </c>
    </row>
    <row r="22" spans="1:16" x14ac:dyDescent="0.25">
      <c r="A22" s="108">
        <v>2012</v>
      </c>
      <c r="B22" s="1">
        <v>2</v>
      </c>
      <c r="C22" s="15" t="s">
        <v>11</v>
      </c>
      <c r="D22" s="24">
        <v>9721.3791314635109</v>
      </c>
      <c r="E22" s="25">
        <v>17901.733961558199</v>
      </c>
      <c r="F22" s="25">
        <v>35836.869153359221</v>
      </c>
      <c r="G22" s="26">
        <v>63459.982246380932</v>
      </c>
      <c r="H22" s="27">
        <v>0</v>
      </c>
      <c r="I22" s="25">
        <v>10956.164854221899</v>
      </c>
      <c r="J22" s="25">
        <v>9699.84019643385</v>
      </c>
      <c r="K22" s="25">
        <v>6967.1080423658095</v>
      </c>
      <c r="L22" s="25">
        <v>5772.5218745351413</v>
      </c>
      <c r="M22" s="25">
        <v>30064.3472788242</v>
      </c>
      <c r="N22" s="26">
        <v>63459.982246380903</v>
      </c>
      <c r="O22" s="24">
        <f t="shared" si="2"/>
        <v>33395.634967556703</v>
      </c>
      <c r="P22" s="72">
        <f t="shared" si="3"/>
        <v>0.5262471527000977</v>
      </c>
    </row>
    <row r="23" spans="1:16" x14ac:dyDescent="0.25">
      <c r="A23" s="108">
        <v>2012</v>
      </c>
      <c r="B23" s="1">
        <v>3</v>
      </c>
      <c r="C23" s="15" t="s">
        <v>12</v>
      </c>
      <c r="D23" s="110">
        <v>48461.966197708338</v>
      </c>
      <c r="E23" s="111">
        <v>96311.568409950007</v>
      </c>
      <c r="F23" s="111">
        <v>136985.4965917852</v>
      </c>
      <c r="G23" s="112">
        <v>281759.0311994435</v>
      </c>
      <c r="H23" s="113">
        <v>19041.1187323964</v>
      </c>
      <c r="I23" s="111">
        <v>42163.260827335333</v>
      </c>
      <c r="J23" s="111">
        <v>59107.4284853227</v>
      </c>
      <c r="K23" s="111">
        <v>24461.726562603901</v>
      </c>
      <c r="L23" s="111">
        <v>2218.14667814013</v>
      </c>
      <c r="M23" s="111">
        <v>134767.3499136442</v>
      </c>
      <c r="N23" s="112">
        <v>281759.03119944269</v>
      </c>
      <c r="O23" s="110">
        <f t="shared" si="2"/>
        <v>146991.68128579849</v>
      </c>
      <c r="P23" s="114">
        <f t="shared" si="3"/>
        <v>0.52169288295767402</v>
      </c>
    </row>
    <row r="24" spans="1:16" x14ac:dyDescent="0.25">
      <c r="A24" s="108">
        <v>2012</v>
      </c>
      <c r="B24" s="1">
        <v>4</v>
      </c>
      <c r="C24" s="15" t="s">
        <v>13</v>
      </c>
      <c r="D24" s="24">
        <v>21803.3208255352</v>
      </c>
      <c r="E24" s="25">
        <v>23365.625414347898</v>
      </c>
      <c r="F24" s="25">
        <v>84143.554920661656</v>
      </c>
      <c r="G24" s="26">
        <v>129312.50116054475</v>
      </c>
      <c r="H24" s="27">
        <v>0</v>
      </c>
      <c r="I24" s="25">
        <v>23701.1092837699</v>
      </c>
      <c r="J24" s="25">
        <v>14716.3318792343</v>
      </c>
      <c r="K24" s="25">
        <v>7777.4293764761096</v>
      </c>
      <c r="L24" s="25">
        <v>9425.4453978076799</v>
      </c>
      <c r="M24" s="25">
        <v>73692.185223256558</v>
      </c>
      <c r="N24" s="26">
        <v>129312.50116054455</v>
      </c>
      <c r="O24" s="24">
        <f t="shared" si="2"/>
        <v>55620.315937287989</v>
      </c>
      <c r="P24" s="72">
        <f t="shared" si="3"/>
        <v>0.43012327066687889</v>
      </c>
    </row>
    <row r="25" spans="1:16" x14ac:dyDescent="0.25">
      <c r="A25" s="108">
        <v>2012</v>
      </c>
      <c r="B25" s="1">
        <v>6</v>
      </c>
      <c r="C25" s="15" t="s">
        <v>14</v>
      </c>
      <c r="D25" s="24">
        <v>344.50204638059807</v>
      </c>
      <c r="E25" s="25">
        <v>45.982264665200013</v>
      </c>
      <c r="F25" s="25">
        <v>13738.12098393278</v>
      </c>
      <c r="G25" s="26">
        <v>14128.605294978581</v>
      </c>
      <c r="H25" s="27">
        <v>0</v>
      </c>
      <c r="I25" s="25">
        <v>270.78444747330002</v>
      </c>
      <c r="J25" s="25">
        <v>13.8676671212</v>
      </c>
      <c r="K25" s="25">
        <v>105.83219645129969</v>
      </c>
      <c r="L25" s="25">
        <v>4009.4076763845992</v>
      </c>
      <c r="M25" s="25">
        <v>9728.7133075481888</v>
      </c>
      <c r="N25" s="26">
        <v>14128.605294978581</v>
      </c>
      <c r="O25" s="24">
        <f t="shared" si="2"/>
        <v>4399.891987430392</v>
      </c>
      <c r="P25" s="72">
        <f t="shared" si="3"/>
        <v>0.3114172910608633</v>
      </c>
    </row>
    <row r="26" spans="1:16" x14ac:dyDescent="0.25">
      <c r="A26" s="108">
        <v>2012</v>
      </c>
      <c r="B26" s="1">
        <v>7</v>
      </c>
      <c r="C26" s="15" t="s">
        <v>15</v>
      </c>
      <c r="D26" s="24">
        <v>9835.5667521199885</v>
      </c>
      <c r="E26" s="25">
        <v>11108.838741480398</v>
      </c>
      <c r="F26" s="25">
        <v>75984.619587209119</v>
      </c>
      <c r="G26" s="26">
        <v>96929.025080809515</v>
      </c>
      <c r="H26" s="27">
        <v>0</v>
      </c>
      <c r="I26" s="25">
        <v>9340.3887702960019</v>
      </c>
      <c r="J26" s="25">
        <v>3471.4272924897</v>
      </c>
      <c r="K26" s="25">
        <v>8971.3591889034287</v>
      </c>
      <c r="L26" s="25">
        <v>1338.1724582352999</v>
      </c>
      <c r="M26" s="25">
        <v>73807.677370884936</v>
      </c>
      <c r="N26" s="26">
        <v>96929.02508080937</v>
      </c>
      <c r="O26" s="24">
        <f t="shared" si="2"/>
        <v>23121.347709924434</v>
      </c>
      <c r="P26" s="72">
        <f t="shared" si="3"/>
        <v>0.23853894837638412</v>
      </c>
    </row>
    <row r="27" spans="1:16" x14ac:dyDescent="0.25">
      <c r="A27" s="108">
        <v>2012</v>
      </c>
      <c r="B27" s="1">
        <v>8</v>
      </c>
      <c r="C27" s="15" t="s">
        <v>16</v>
      </c>
      <c r="D27" s="24">
        <v>0</v>
      </c>
      <c r="E27" s="25">
        <v>0</v>
      </c>
      <c r="F27" s="25">
        <v>15284.6266666638</v>
      </c>
      <c r="G27" s="26">
        <v>15284.6266666638</v>
      </c>
      <c r="H27" s="27">
        <v>0</v>
      </c>
      <c r="I27" s="25">
        <v>582.59565029790053</v>
      </c>
      <c r="J27" s="25">
        <v>7.7681942018000001</v>
      </c>
      <c r="K27" s="25">
        <v>0</v>
      </c>
      <c r="L27" s="25">
        <v>355.95471277190001</v>
      </c>
      <c r="M27" s="25">
        <v>14338.308109392199</v>
      </c>
      <c r="N27" s="26">
        <v>15284.626666663809</v>
      </c>
      <c r="O27" s="24">
        <f t="shared" si="2"/>
        <v>946.31855727161019</v>
      </c>
      <c r="P27" s="72">
        <f t="shared" si="3"/>
        <v>6.1913095943360356E-2</v>
      </c>
    </row>
    <row r="28" spans="1:16" x14ac:dyDescent="0.25">
      <c r="A28" s="108">
        <v>2012</v>
      </c>
      <c r="B28" s="1">
        <v>9</v>
      </c>
      <c r="C28" s="15" t="s">
        <v>17</v>
      </c>
      <c r="D28" s="24">
        <v>1080.2090104919009</v>
      </c>
      <c r="E28" s="25">
        <v>1295.6751568214991</v>
      </c>
      <c r="F28" s="25">
        <v>38441.447101061611</v>
      </c>
      <c r="G28" s="26">
        <v>40817.331268375012</v>
      </c>
      <c r="H28" s="27">
        <v>0</v>
      </c>
      <c r="I28" s="25">
        <v>790.36407155789982</v>
      </c>
      <c r="J28" s="25">
        <v>997.86225418830008</v>
      </c>
      <c r="K28" s="25">
        <v>774.81238307570038</v>
      </c>
      <c r="L28" s="25">
        <v>11537.364071977179</v>
      </c>
      <c r="M28" s="25">
        <v>26716.928487575969</v>
      </c>
      <c r="N28" s="26">
        <v>40817.331268375063</v>
      </c>
      <c r="O28" s="24">
        <f t="shared" si="2"/>
        <v>14100.402780799093</v>
      </c>
      <c r="P28" s="72">
        <f t="shared" si="3"/>
        <v>0.34545136447281544</v>
      </c>
    </row>
    <row r="29" spans="1:16" ht="15.75" thickBot="1" x14ac:dyDescent="0.3">
      <c r="A29" s="124">
        <v>2012</v>
      </c>
      <c r="B29" s="32">
        <v>10</v>
      </c>
      <c r="C29" s="33" t="s">
        <v>18</v>
      </c>
      <c r="D29" s="28">
        <v>0</v>
      </c>
      <c r="E29" s="29">
        <v>0</v>
      </c>
      <c r="F29" s="29">
        <v>943.64161848209505</v>
      </c>
      <c r="G29" s="30">
        <v>943.64161848209505</v>
      </c>
      <c r="H29" s="31">
        <v>0</v>
      </c>
      <c r="I29" s="29">
        <v>0</v>
      </c>
      <c r="J29" s="29">
        <v>0</v>
      </c>
      <c r="K29" s="29">
        <v>0</v>
      </c>
      <c r="L29" s="29">
        <v>190.1461918602001</v>
      </c>
      <c r="M29" s="29">
        <v>753.49542662189594</v>
      </c>
      <c r="N29" s="30">
        <v>943.64161848209608</v>
      </c>
      <c r="O29" s="28">
        <f t="shared" si="2"/>
        <v>190.14619186020013</v>
      </c>
      <c r="P29" s="73">
        <f t="shared" si="3"/>
        <v>0.20150254941707807</v>
      </c>
    </row>
    <row r="30" spans="1:16" x14ac:dyDescent="0.25">
      <c r="A30" s="121">
        <v>2007</v>
      </c>
      <c r="B30" s="34">
        <v>1</v>
      </c>
      <c r="C30" s="17" t="s">
        <v>10</v>
      </c>
      <c r="D30" s="20">
        <v>21945.21225399998</v>
      </c>
      <c r="E30" s="23">
        <v>26860.392892000007</v>
      </c>
      <c r="F30" s="23">
        <v>128397.43551399979</v>
      </c>
      <c r="G30" s="96">
        <v>177203.0406599998</v>
      </c>
      <c r="H30" s="23">
        <v>252.77547299999989</v>
      </c>
      <c r="I30" s="23">
        <v>21042.765973999991</v>
      </c>
      <c r="J30" s="23">
        <v>9849.8651200000095</v>
      </c>
      <c r="K30" s="23">
        <v>19626.685990000009</v>
      </c>
      <c r="L30" s="23">
        <v>2751.0076049999961</v>
      </c>
      <c r="M30" s="23">
        <v>123679.94049799989</v>
      </c>
      <c r="N30" s="23">
        <v>177203.04065999991</v>
      </c>
      <c r="O30" s="20">
        <f t="shared" si="2"/>
        <v>53523.100162000017</v>
      </c>
      <c r="P30" s="71">
        <f t="shared" si="3"/>
        <v>0.30204391506291906</v>
      </c>
    </row>
    <row r="31" spans="1:16" x14ac:dyDescent="0.25">
      <c r="A31" s="109">
        <v>2007</v>
      </c>
      <c r="B31" s="1">
        <v>2</v>
      </c>
      <c r="C31" s="15" t="s">
        <v>11</v>
      </c>
      <c r="D31" s="24">
        <v>7878.5505249999906</v>
      </c>
      <c r="E31" s="25">
        <v>16960.921590999998</v>
      </c>
      <c r="F31" s="25">
        <v>32963.082415000019</v>
      </c>
      <c r="G31" s="26">
        <v>57802.554531000009</v>
      </c>
      <c r="H31" s="27">
        <v>0</v>
      </c>
      <c r="I31" s="25">
        <v>9741.4965239999583</v>
      </c>
      <c r="J31" s="25">
        <v>8666.4307799999806</v>
      </c>
      <c r="K31" s="25">
        <v>6431.5448120000201</v>
      </c>
      <c r="L31" s="25">
        <v>5477.8670770000299</v>
      </c>
      <c r="M31" s="25">
        <v>27485.215337999998</v>
      </c>
      <c r="N31" s="26">
        <v>57802.554530999987</v>
      </c>
      <c r="O31" s="24">
        <f t="shared" si="2"/>
        <v>30317.339192999989</v>
      </c>
      <c r="P31" s="72">
        <f t="shared" si="3"/>
        <v>0.52449825858025967</v>
      </c>
    </row>
    <row r="32" spans="1:16" x14ac:dyDescent="0.25">
      <c r="A32" s="109">
        <v>2007</v>
      </c>
      <c r="B32" s="1">
        <v>3</v>
      </c>
      <c r="C32" s="15" t="s">
        <v>12</v>
      </c>
      <c r="D32" s="110">
        <v>44708.265445000012</v>
      </c>
      <c r="E32" s="111">
        <v>93814.882206000097</v>
      </c>
      <c r="F32" s="111">
        <v>127596.83693699999</v>
      </c>
      <c r="G32" s="112">
        <v>266119.98458800011</v>
      </c>
      <c r="H32" s="113">
        <v>18588.988031000001</v>
      </c>
      <c r="I32" s="111">
        <v>39005.033507000007</v>
      </c>
      <c r="J32" s="111">
        <v>56950.4585350001</v>
      </c>
      <c r="K32" s="111">
        <v>23978.667578000099</v>
      </c>
      <c r="L32" s="111">
        <v>2161.0628620000298</v>
      </c>
      <c r="M32" s="111">
        <v>125435.77407499999</v>
      </c>
      <c r="N32" s="112">
        <v>266119.98458800022</v>
      </c>
      <c r="O32" s="110">
        <f t="shared" si="2"/>
        <v>140684.21051300023</v>
      </c>
      <c r="P32" s="114">
        <f t="shared" si="3"/>
        <v>0.52864955155774462</v>
      </c>
    </row>
    <row r="33" spans="1:16" x14ac:dyDescent="0.25">
      <c r="A33" s="109">
        <v>2007</v>
      </c>
      <c r="B33" s="1">
        <v>4</v>
      </c>
      <c r="C33" s="15" t="s">
        <v>13</v>
      </c>
      <c r="D33" s="24">
        <v>19871.076157</v>
      </c>
      <c r="E33" s="25">
        <v>22341.263518</v>
      </c>
      <c r="F33" s="25">
        <v>76032.1825290001</v>
      </c>
      <c r="G33" s="26">
        <v>118244.5222040001</v>
      </c>
      <c r="H33" s="27">
        <v>0</v>
      </c>
      <c r="I33" s="25">
        <v>21896.104772999901</v>
      </c>
      <c r="J33" s="25">
        <v>13926.346635</v>
      </c>
      <c r="K33" s="25">
        <v>7465.7261960000196</v>
      </c>
      <c r="L33" s="25">
        <v>8893.0512250000993</v>
      </c>
      <c r="M33" s="25">
        <v>66063.293375000096</v>
      </c>
      <c r="N33" s="26">
        <v>118244.52220400011</v>
      </c>
      <c r="O33" s="24">
        <f t="shared" si="2"/>
        <v>52181.228829000014</v>
      </c>
      <c r="P33" s="72">
        <f t="shared" si="3"/>
        <v>0.4412993334183794</v>
      </c>
    </row>
    <row r="34" spans="1:16" x14ac:dyDescent="0.25">
      <c r="A34" s="109">
        <v>2007</v>
      </c>
      <c r="B34" s="1">
        <v>6</v>
      </c>
      <c r="C34" s="15" t="s">
        <v>14</v>
      </c>
      <c r="D34" s="24">
        <v>317.34231399999959</v>
      </c>
      <c r="E34" s="25">
        <v>39.031406999999987</v>
      </c>
      <c r="F34" s="25">
        <v>14213.53717900001</v>
      </c>
      <c r="G34" s="26">
        <v>14569.91090000001</v>
      </c>
      <c r="H34" s="27">
        <v>0</v>
      </c>
      <c r="I34" s="25">
        <v>253.70414200000079</v>
      </c>
      <c r="J34" s="25">
        <v>11.030616</v>
      </c>
      <c r="K34" s="25">
        <v>91.638963000000189</v>
      </c>
      <c r="L34" s="25">
        <v>4099.5719350000027</v>
      </c>
      <c r="M34" s="25">
        <v>10113.965244000021</v>
      </c>
      <c r="N34" s="26">
        <v>14569.91090000003</v>
      </c>
      <c r="O34" s="24">
        <f t="shared" si="2"/>
        <v>4455.945656000009</v>
      </c>
      <c r="P34" s="72">
        <f t="shared" si="3"/>
        <v>0.30583204568533046</v>
      </c>
    </row>
    <row r="35" spans="1:16" x14ac:dyDescent="0.25">
      <c r="A35" s="109">
        <v>2007</v>
      </c>
      <c r="B35" s="1">
        <v>7</v>
      </c>
      <c r="C35" s="15" t="s">
        <v>15</v>
      </c>
      <c r="D35" s="24">
        <v>9307.9328400000013</v>
      </c>
      <c r="E35" s="25">
        <v>10912.901020999901</v>
      </c>
      <c r="F35" s="25">
        <v>72761.323297000112</v>
      </c>
      <c r="G35" s="26">
        <v>92982.157158000016</v>
      </c>
      <c r="H35" s="27">
        <v>0</v>
      </c>
      <c r="I35" s="25">
        <v>9080.0253169999924</v>
      </c>
      <c r="J35" s="25">
        <v>3501.7137479999897</v>
      </c>
      <c r="K35" s="25">
        <v>8581.4010629999611</v>
      </c>
      <c r="L35" s="25">
        <v>1157.2365029999999</v>
      </c>
      <c r="M35" s="25">
        <v>70661.780518000101</v>
      </c>
      <c r="N35" s="26">
        <v>92982.157149000035</v>
      </c>
      <c r="O35" s="24">
        <f t="shared" si="2"/>
        <v>22320.376630999934</v>
      </c>
      <c r="P35" s="72">
        <f t="shared" si="3"/>
        <v>0.24005010547596209</v>
      </c>
    </row>
    <row r="36" spans="1:16" x14ac:dyDescent="0.25">
      <c r="A36" s="109">
        <v>2007</v>
      </c>
      <c r="B36" s="1">
        <v>8</v>
      </c>
      <c r="C36" s="15" t="s">
        <v>16</v>
      </c>
      <c r="D36" s="24">
        <v>0</v>
      </c>
      <c r="E36" s="25">
        <v>0</v>
      </c>
      <c r="F36" s="25">
        <v>14775.60149399998</v>
      </c>
      <c r="G36" s="26">
        <v>14775.60149399998</v>
      </c>
      <c r="H36" s="27">
        <v>0</v>
      </c>
      <c r="I36" s="25">
        <v>691.77874100000042</v>
      </c>
      <c r="J36" s="25">
        <v>10.857794999999999</v>
      </c>
      <c r="K36" s="25">
        <v>0</v>
      </c>
      <c r="L36" s="25">
        <v>315.96831700000001</v>
      </c>
      <c r="M36" s="25">
        <v>13756.996640999991</v>
      </c>
      <c r="N36" s="26">
        <v>14775.60149399998</v>
      </c>
      <c r="O36" s="24">
        <f t="shared" si="2"/>
        <v>1018.6048529999898</v>
      </c>
      <c r="P36" s="72">
        <f t="shared" si="3"/>
        <v>6.8938300306328082E-2</v>
      </c>
    </row>
    <row r="37" spans="1:16" x14ac:dyDescent="0.25">
      <c r="A37" s="109">
        <v>2007</v>
      </c>
      <c r="B37" s="1">
        <v>9</v>
      </c>
      <c r="C37" s="15" t="s">
        <v>17</v>
      </c>
      <c r="D37" s="24">
        <v>1055.3377100000009</v>
      </c>
      <c r="E37" s="25">
        <v>1246.112954000004</v>
      </c>
      <c r="F37" s="25">
        <v>35002.173949999953</v>
      </c>
      <c r="G37" s="26">
        <v>37303.624613999957</v>
      </c>
      <c r="H37" s="27">
        <v>0</v>
      </c>
      <c r="I37" s="25">
        <v>707.31747299999995</v>
      </c>
      <c r="J37" s="25">
        <v>996.06954500000177</v>
      </c>
      <c r="K37" s="25">
        <v>731.5953080000005</v>
      </c>
      <c r="L37" s="25">
        <v>10410.112928000121</v>
      </c>
      <c r="M37" s="25">
        <v>24458.52935999995</v>
      </c>
      <c r="N37" s="26">
        <v>37303.624614000073</v>
      </c>
      <c r="O37" s="24">
        <f t="shared" si="2"/>
        <v>12845.095254000124</v>
      </c>
      <c r="P37" s="72">
        <f t="shared" si="3"/>
        <v>0.34433906589279134</v>
      </c>
    </row>
    <row r="38" spans="1:16" ht="15.75" thickBot="1" x14ac:dyDescent="0.3">
      <c r="A38" s="122">
        <v>2007</v>
      </c>
      <c r="B38" s="19">
        <v>10</v>
      </c>
      <c r="C38" s="16" t="s">
        <v>18</v>
      </c>
      <c r="D38" s="28">
        <v>0</v>
      </c>
      <c r="E38" s="29">
        <v>0</v>
      </c>
      <c r="F38" s="29">
        <v>857.63056100000301</v>
      </c>
      <c r="G38" s="30">
        <v>857.63056100000301</v>
      </c>
      <c r="H38" s="31">
        <v>0</v>
      </c>
      <c r="I38" s="29">
        <v>0</v>
      </c>
      <c r="J38" s="29">
        <v>0</v>
      </c>
      <c r="K38" s="29">
        <v>0</v>
      </c>
      <c r="L38" s="29">
        <v>167.72333399999999</v>
      </c>
      <c r="M38" s="29">
        <v>689.90722700000276</v>
      </c>
      <c r="N38" s="30">
        <v>857.63056100000279</v>
      </c>
      <c r="O38" s="28">
        <f t="shared" si="2"/>
        <v>167.72333400000002</v>
      </c>
      <c r="P38" s="73">
        <f t="shared" si="3"/>
        <v>0.1955659483547712</v>
      </c>
    </row>
    <row r="40" spans="1:16" x14ac:dyDescent="0.25">
      <c r="C40" s="74"/>
      <c r="D40" s="76"/>
      <c r="E40" s="76"/>
      <c r="F40" s="76"/>
      <c r="G40" s="76"/>
      <c r="H40" s="125"/>
      <c r="I40" s="125"/>
      <c r="J40" s="125"/>
      <c r="K40" s="125"/>
      <c r="L40" s="125"/>
      <c r="M40" s="125"/>
      <c r="N40" s="125"/>
    </row>
    <row r="41" spans="1:16" x14ac:dyDescent="0.25">
      <c r="C41" s="74"/>
      <c r="D41" s="74"/>
      <c r="E41" s="74"/>
      <c r="F41" s="74"/>
      <c r="G41" s="74"/>
      <c r="H41" s="74"/>
      <c r="I41" s="74"/>
      <c r="J41" s="74"/>
      <c r="K41" s="74"/>
      <c r="L41" s="74"/>
      <c r="M41" s="74"/>
      <c r="N41" s="74"/>
    </row>
    <row r="43" spans="1:16" ht="45" x14ac:dyDescent="0.25">
      <c r="B43" s="1" t="s">
        <v>19</v>
      </c>
      <c r="C43" s="1" t="s">
        <v>20</v>
      </c>
      <c r="D43" s="51" t="s">
        <v>0</v>
      </c>
      <c r="E43" s="51" t="s">
        <v>1</v>
      </c>
      <c r="F43" s="51" t="s">
        <v>2</v>
      </c>
      <c r="G43" s="51" t="s">
        <v>3</v>
      </c>
      <c r="H43" s="51" t="s">
        <v>4</v>
      </c>
      <c r="I43" s="51" t="s">
        <v>5</v>
      </c>
      <c r="J43" s="51" t="s">
        <v>6</v>
      </c>
      <c r="K43" s="51" t="s">
        <v>7</v>
      </c>
      <c r="L43" s="51" t="s">
        <v>8</v>
      </c>
      <c r="M43" s="51" t="s">
        <v>9</v>
      </c>
      <c r="N43" s="51" t="s">
        <v>3</v>
      </c>
    </row>
    <row r="44" spans="1:16" x14ac:dyDescent="0.25">
      <c r="B44" s="52">
        <v>3</v>
      </c>
      <c r="C44" s="52" t="str">
        <f>VLOOKUP($B$44,$B$3:$G$11,2)</f>
        <v>PAPI Vistre</v>
      </c>
      <c r="D44" s="25">
        <f>VLOOKUP($B$44,$B$3:$N$11,3)</f>
        <v>51122.824808695499</v>
      </c>
      <c r="E44" s="25">
        <f>VLOOKUP($B$44,$B$3:$N$11,4)</f>
        <v>103905.12021780231</v>
      </c>
      <c r="F44" s="25">
        <f>VLOOKUP($B$44,$B$3:$N$11,5)</f>
        <v>149435.64841599931</v>
      </c>
      <c r="G44" s="25">
        <f>VLOOKUP($B$44,$B$3:$N$11,6)</f>
        <v>304463.59344249713</v>
      </c>
      <c r="H44" s="25">
        <f>VLOOKUP($B$44,$B$3:$N$11,7)</f>
        <v>19931.428803685401</v>
      </c>
      <c r="I44" s="25">
        <f>VLOOKUP($B$44,$B$3:$N$11,8)</f>
        <v>46872.887674156402</v>
      </c>
      <c r="J44" s="25">
        <f>VLOOKUP($B$44,$B$3:$N$11,9)</f>
        <v>61653.244031162401</v>
      </c>
      <c r="K44" s="25">
        <f>VLOOKUP($B$44,$B$3:$N$11,10)</f>
        <v>26570.384517493902</v>
      </c>
      <c r="L44" s="25">
        <f>VLOOKUP($B$44,$B$3:$N$11,11)</f>
        <v>2257.2925897457339</v>
      </c>
      <c r="M44" s="25">
        <f>VLOOKUP($B$44,$B$3:$N$11,12)</f>
        <v>147178.3558262533</v>
      </c>
      <c r="N44" s="25">
        <f>VLOOKUP($B$44,$B$3:$N$11,13)</f>
        <v>304463.59344249713</v>
      </c>
    </row>
    <row r="45" spans="1:16" x14ac:dyDescent="0.25">
      <c r="B45" s="52">
        <v>6</v>
      </c>
      <c r="C45" s="52" t="str">
        <f>VLOOKUP($B$44,$B$3:$G$11,2)</f>
        <v>PAPI Vistre</v>
      </c>
      <c r="D45" s="77">
        <f>D44/$G$44</f>
        <v>0.16791112602548611</v>
      </c>
      <c r="E45" s="77">
        <f>E44/$G$44</f>
        <v>0.34127272506696754</v>
      </c>
      <c r="F45" s="77">
        <f>F44/$G$44</f>
        <v>0.49081614890754632</v>
      </c>
      <c r="G45" s="77">
        <f>G44/$G$44</f>
        <v>1</v>
      </c>
      <c r="H45" s="77">
        <f>H44/SUM($H$44:$L$44)</f>
        <v>0.12672154809795677</v>
      </c>
      <c r="I45" s="77">
        <f t="shared" ref="I45:L45" si="4">I44/SUM($H$44:$L$44)</f>
        <v>0.29801199645017129</v>
      </c>
      <c r="J45" s="77">
        <f t="shared" si="4"/>
        <v>0.39198366588979283</v>
      </c>
      <c r="K45" s="77">
        <f t="shared" si="4"/>
        <v>0.16893120371742892</v>
      </c>
      <c r="L45" s="77">
        <f t="shared" si="4"/>
        <v>1.4351585844650237E-2</v>
      </c>
      <c r="M45" s="77"/>
      <c r="N45" s="77"/>
    </row>
    <row r="46" spans="1:16" x14ac:dyDescent="0.25">
      <c r="G46" s="50"/>
    </row>
    <row r="47" spans="1:16" x14ac:dyDescent="0.25">
      <c r="G47" s="50"/>
    </row>
    <row r="73" spans="3:10" x14ac:dyDescent="0.25">
      <c r="C73" s="166">
        <v>2022</v>
      </c>
    </row>
    <row r="75" spans="3:10" x14ac:dyDescent="0.25">
      <c r="C75" s="1" t="s">
        <v>20</v>
      </c>
      <c r="D75" s="51" t="s">
        <v>4</v>
      </c>
      <c r="E75" s="51" t="s">
        <v>5</v>
      </c>
      <c r="F75" s="51" t="s">
        <v>6</v>
      </c>
      <c r="G75" s="51" t="s">
        <v>7</v>
      </c>
      <c r="H75" s="51" t="s">
        <v>8</v>
      </c>
      <c r="I75" s="135" t="s">
        <v>57</v>
      </c>
      <c r="J75" s="74"/>
    </row>
    <row r="76" spans="3:10" x14ac:dyDescent="0.25">
      <c r="C76" s="95" t="s">
        <v>10</v>
      </c>
      <c r="D76" s="25">
        <f t="shared" ref="D76:D84" si="5">H3</f>
        <v>251.34285292870001</v>
      </c>
      <c r="E76" s="25">
        <f t="shared" ref="E76:H76" si="6">I3</f>
        <v>20593.301355424937</v>
      </c>
      <c r="F76" s="25">
        <f t="shared" si="6"/>
        <v>11019.598320192559</v>
      </c>
      <c r="G76" s="25">
        <f t="shared" si="6"/>
        <v>20259.507644386198</v>
      </c>
      <c r="H76" s="25">
        <f t="shared" si="6"/>
        <v>2620.4428128769991</v>
      </c>
      <c r="I76" s="25">
        <f>M3</f>
        <v>142995.06851182171</v>
      </c>
      <c r="J76" s="76">
        <f>D76+E76+F76+G76+H76</f>
        <v>54744.192985809401</v>
      </c>
    </row>
    <row r="77" spans="3:10" x14ac:dyDescent="0.25">
      <c r="C77" s="95" t="s">
        <v>11</v>
      </c>
      <c r="D77" s="25">
        <f t="shared" si="5"/>
        <v>0</v>
      </c>
      <c r="E77" s="25">
        <f t="shared" ref="E77:I84" si="7">I4</f>
        <v>12119.654044386099</v>
      </c>
      <c r="F77" s="25">
        <f t="shared" si="7"/>
        <v>9958.0527646955197</v>
      </c>
      <c r="G77" s="25">
        <f t="shared" si="7"/>
        <v>8246.7303891087467</v>
      </c>
      <c r="H77" s="25">
        <f t="shared" si="7"/>
        <v>5856.4149302973337</v>
      </c>
      <c r="I77" s="25">
        <f t="shared" si="7"/>
        <v>34726.3315743477</v>
      </c>
      <c r="J77" s="76">
        <f t="shared" ref="J77:J84" si="8">D77+E77+F77+G77+H77</f>
        <v>36180.852128487699</v>
      </c>
    </row>
    <row r="78" spans="3:10" x14ac:dyDescent="0.25">
      <c r="C78" s="95" t="s">
        <v>12</v>
      </c>
      <c r="D78" s="25">
        <f t="shared" si="5"/>
        <v>19931.428803685401</v>
      </c>
      <c r="E78" s="25">
        <f t="shared" ref="E78:H78" si="9">I5</f>
        <v>46872.887674156402</v>
      </c>
      <c r="F78" s="25">
        <f t="shared" si="9"/>
        <v>61653.244031162401</v>
      </c>
      <c r="G78" s="25">
        <f t="shared" si="9"/>
        <v>26570.384517493902</v>
      </c>
      <c r="H78" s="25">
        <f t="shared" si="9"/>
        <v>2257.2925897457339</v>
      </c>
      <c r="I78" s="25">
        <f t="shared" si="7"/>
        <v>147178.3558262533</v>
      </c>
      <c r="J78" s="76">
        <f t="shared" si="8"/>
        <v>157285.23761624383</v>
      </c>
    </row>
    <row r="79" spans="3:10" x14ac:dyDescent="0.25">
      <c r="C79" s="95" t="s">
        <v>13</v>
      </c>
      <c r="D79" s="25">
        <f t="shared" si="5"/>
        <v>0</v>
      </c>
      <c r="E79" s="25">
        <f t="shared" ref="E79:H79" si="10">I6</f>
        <v>25063.370009869101</v>
      </c>
      <c r="F79" s="25">
        <f t="shared" si="10"/>
        <v>15178.386657720301</v>
      </c>
      <c r="G79" s="25">
        <f t="shared" si="10"/>
        <v>8287.5130743388199</v>
      </c>
      <c r="H79" s="25">
        <f t="shared" si="10"/>
        <v>9407.4447037140199</v>
      </c>
      <c r="I79" s="25">
        <f t="shared" si="7"/>
        <v>77924.998867617498</v>
      </c>
      <c r="J79" s="76">
        <f t="shared" si="8"/>
        <v>57936.714445642247</v>
      </c>
    </row>
    <row r="80" spans="3:10" x14ac:dyDescent="0.25">
      <c r="C80" s="95" t="s">
        <v>14</v>
      </c>
      <c r="D80" s="25">
        <f t="shared" si="5"/>
        <v>0</v>
      </c>
      <c r="E80" s="25">
        <f t="shared" ref="E80:H80" si="11">I7</f>
        <v>267.39019407399962</v>
      </c>
      <c r="F80" s="25">
        <f t="shared" si="11"/>
        <v>19.5122574054</v>
      </c>
      <c r="G80" s="25">
        <f t="shared" si="11"/>
        <v>89.611848824899909</v>
      </c>
      <c r="H80" s="25">
        <f t="shared" si="11"/>
        <v>3811.8429383592029</v>
      </c>
      <c r="I80" s="25">
        <f t="shared" si="7"/>
        <v>9546.3021019924981</v>
      </c>
      <c r="J80" s="76">
        <f t="shared" si="8"/>
        <v>4188.3572386635024</v>
      </c>
    </row>
    <row r="81" spans="3:10" x14ac:dyDescent="0.25">
      <c r="C81" s="95" t="s">
        <v>15</v>
      </c>
      <c r="D81" s="25">
        <f t="shared" si="5"/>
        <v>0</v>
      </c>
      <c r="E81" s="25">
        <f t="shared" ref="E81:H81" si="12">I8</f>
        <v>9193.6926293343004</v>
      </c>
      <c r="F81" s="25">
        <f t="shared" si="12"/>
        <v>3636.6004326780999</v>
      </c>
      <c r="G81" s="25">
        <f t="shared" si="12"/>
        <v>8776.3957002468087</v>
      </c>
      <c r="H81" s="25">
        <f t="shared" si="12"/>
        <v>1643.6920857509999</v>
      </c>
      <c r="I81" s="25">
        <f t="shared" si="7"/>
        <v>78045.409283763191</v>
      </c>
      <c r="J81" s="76">
        <f t="shared" si="8"/>
        <v>23250.380848010213</v>
      </c>
    </row>
    <row r="82" spans="3:10" x14ac:dyDescent="0.25">
      <c r="C82" s="95" t="s">
        <v>16</v>
      </c>
      <c r="D82" s="25">
        <f t="shared" si="5"/>
        <v>0</v>
      </c>
      <c r="E82" s="25">
        <f t="shared" ref="E82:H82" si="13">I9</f>
        <v>585.71661017259999</v>
      </c>
      <c r="F82" s="25">
        <f t="shared" si="13"/>
        <v>11.891553142599999</v>
      </c>
      <c r="G82" s="25">
        <f t="shared" si="13"/>
        <v>0</v>
      </c>
      <c r="H82" s="25">
        <f t="shared" si="13"/>
        <v>384.47898054780001</v>
      </c>
      <c r="I82" s="25">
        <f t="shared" si="7"/>
        <v>14827.73846919549</v>
      </c>
      <c r="J82" s="76">
        <f t="shared" si="8"/>
        <v>982.08714386299994</v>
      </c>
    </row>
    <row r="83" spans="3:10" x14ac:dyDescent="0.25">
      <c r="C83" s="95" t="s">
        <v>56</v>
      </c>
      <c r="D83" s="25">
        <f t="shared" si="5"/>
        <v>0</v>
      </c>
      <c r="E83" s="25">
        <f t="shared" ref="E83:H83" si="14">I10</f>
        <v>789.7698832686998</v>
      </c>
      <c r="F83" s="25">
        <f t="shared" si="14"/>
        <v>1283.394335037098</v>
      </c>
      <c r="G83" s="25">
        <f t="shared" si="14"/>
        <v>788.97079316169936</v>
      </c>
      <c r="H83" s="25">
        <f t="shared" si="14"/>
        <v>11769.539599759901</v>
      </c>
      <c r="I83" s="25">
        <f t="shared" si="7"/>
        <v>27339.50396032738</v>
      </c>
      <c r="J83" s="76">
        <f t="shared" si="8"/>
        <v>14631.674611227398</v>
      </c>
    </row>
    <row r="84" spans="3:10" x14ac:dyDescent="0.25">
      <c r="C84" s="95" t="s">
        <v>18</v>
      </c>
      <c r="D84" s="25">
        <f t="shared" si="5"/>
        <v>0</v>
      </c>
      <c r="E84" s="25">
        <f t="shared" ref="E84:H84" si="15">I11</f>
        <v>0</v>
      </c>
      <c r="F84" s="25">
        <f t="shared" si="15"/>
        <v>0</v>
      </c>
      <c r="G84" s="25">
        <f t="shared" si="15"/>
        <v>0</v>
      </c>
      <c r="H84" s="25">
        <f t="shared" si="15"/>
        <v>185.15412381089979</v>
      </c>
      <c r="I84" s="25">
        <f t="shared" si="7"/>
        <v>684.84587621810192</v>
      </c>
      <c r="J84" s="76">
        <f t="shared" si="8"/>
        <v>185.15412381089979</v>
      </c>
    </row>
  </sheetData>
  <mergeCells count="2">
    <mergeCell ref="D1:G1"/>
    <mergeCell ref="H1:N1"/>
  </mergeCells>
  <dataValidations count="1">
    <dataValidation type="list" allowBlank="1" showInputMessage="1" showErrorMessage="1" sqref="B44:B45" xr:uid="{00000000-0002-0000-0100-000000000000}">
      <formula1>$B$3:$B$11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83"/>
  <sheetViews>
    <sheetView workbookViewId="0">
      <pane ySplit="3015" activePane="bottomLeft"/>
      <selection activeCell="C14" sqref="C14"/>
      <selection pane="bottomLeft" activeCell="K15" sqref="K15"/>
    </sheetView>
  </sheetViews>
  <sheetFormatPr baseColWidth="10" defaultColWidth="10.7109375" defaultRowHeight="15" x14ac:dyDescent="0.25"/>
  <cols>
    <col min="1" max="1" width="16.140625" customWidth="1"/>
    <col min="3" max="3" width="17.5703125" style="100" customWidth="1"/>
    <col min="4" max="4" width="12.28515625" customWidth="1"/>
    <col min="5" max="5" width="12.7109375" customWidth="1"/>
    <col min="12" max="12" width="12.42578125" customWidth="1"/>
    <col min="17" max="18" width="12.140625" customWidth="1"/>
    <col min="19" max="19" width="12.28515625" customWidth="1"/>
  </cols>
  <sheetData>
    <row r="1" spans="1:19" ht="60" x14ac:dyDescent="0.25">
      <c r="A1" s="51" t="s">
        <v>21</v>
      </c>
      <c r="B1" s="1" t="s">
        <v>19</v>
      </c>
      <c r="C1" s="99" t="s">
        <v>20</v>
      </c>
      <c r="D1" s="51" t="s">
        <v>0</v>
      </c>
      <c r="E1" s="51" t="s">
        <v>1</v>
      </c>
      <c r="F1" s="51" t="s">
        <v>2</v>
      </c>
      <c r="G1" s="51" t="s">
        <v>3</v>
      </c>
      <c r="H1" s="51" t="s">
        <v>4</v>
      </c>
      <c r="I1" s="51" t="s">
        <v>5</v>
      </c>
      <c r="J1" s="51" t="s">
        <v>6</v>
      </c>
      <c r="K1" s="51" t="s">
        <v>7</v>
      </c>
      <c r="L1" s="51" t="s">
        <v>8</v>
      </c>
      <c r="M1" s="51" t="s">
        <v>9</v>
      </c>
      <c r="N1" s="51" t="s">
        <v>3</v>
      </c>
      <c r="O1" s="135" t="s">
        <v>24</v>
      </c>
      <c r="P1" s="135" t="s">
        <v>25</v>
      </c>
      <c r="Q1" s="135" t="s">
        <v>26</v>
      </c>
      <c r="R1" s="153" t="s">
        <v>27</v>
      </c>
      <c r="S1" s="153" t="s">
        <v>28</v>
      </c>
    </row>
    <row r="2" spans="1:19" x14ac:dyDescent="0.25">
      <c r="A2" s="139">
        <v>2007</v>
      </c>
      <c r="B2" s="139">
        <v>1</v>
      </c>
      <c r="C2" s="150" t="s">
        <v>10</v>
      </c>
      <c r="D2" s="131">
        <f>PAPI_BV!D30</f>
        <v>21945.21225399998</v>
      </c>
      <c r="E2" s="131">
        <f>PAPI_BV!E30</f>
        <v>26860.392892000007</v>
      </c>
      <c r="F2" s="131">
        <f>PAPI_BV!F30</f>
        <v>128397.43551399979</v>
      </c>
      <c r="G2" s="131">
        <v>177203.0406599998</v>
      </c>
      <c r="H2" s="131">
        <f>PAPI_BV!H30</f>
        <v>252.77547299999989</v>
      </c>
      <c r="I2" s="131">
        <f>PAPI_BV!I30</f>
        <v>21042.765973999991</v>
      </c>
      <c r="J2" s="131">
        <f>PAPI_BV!J30</f>
        <v>9849.8651200000095</v>
      </c>
      <c r="K2" s="131">
        <f>PAPI_BV!K30</f>
        <v>19626.685990000009</v>
      </c>
      <c r="L2" s="131">
        <f>PAPI_BV!L30</f>
        <v>2751.0076049999961</v>
      </c>
      <c r="M2" s="131">
        <f>PAPI_BV!M30</f>
        <v>123679.94049799989</v>
      </c>
      <c r="N2" s="131">
        <f>H2+I2+J2+K2+L2+M2</f>
        <v>177203.04065999991</v>
      </c>
      <c r="O2" s="131">
        <f>N2-M2</f>
        <v>53523.100162000017</v>
      </c>
      <c r="P2" s="136">
        <f>O2/N2</f>
        <v>0.30204391506291911</v>
      </c>
      <c r="Q2" s="131"/>
      <c r="R2" s="137"/>
      <c r="S2" s="137"/>
    </row>
    <row r="3" spans="1:19" x14ac:dyDescent="0.25">
      <c r="A3" s="139">
        <v>2012</v>
      </c>
      <c r="B3" s="139">
        <v>1</v>
      </c>
      <c r="C3" s="150" t="s">
        <v>10</v>
      </c>
      <c r="D3" s="131">
        <f>PAPI_BV!D21</f>
        <v>21811.487041377135</v>
      </c>
      <c r="E3" s="131">
        <f>PAPI_BV!E21</f>
        <v>27566.433112664323</v>
      </c>
      <c r="F3" s="131">
        <f>PAPI_BV!F21</f>
        <v>136318.25146706362</v>
      </c>
      <c r="G3" s="131">
        <v>185696.17162110511</v>
      </c>
      <c r="H3" s="131">
        <f>PAPI_BV!H21</f>
        <v>267.59221901950002</v>
      </c>
      <c r="I3" s="131">
        <f>PAPI_BV!I21</f>
        <v>20892.152883210234</v>
      </c>
      <c r="J3" s="131">
        <f>PAPI_BV!J21</f>
        <v>10149.993963540845</v>
      </c>
      <c r="K3" s="131">
        <f>PAPI_BV!K21</f>
        <v>20215.543343861031</v>
      </c>
      <c r="L3" s="131">
        <f>PAPI_BV!L21</f>
        <v>2779.3759967605051</v>
      </c>
      <c r="M3" s="131">
        <f>PAPI_BV!M21</f>
        <v>131391.51321471299</v>
      </c>
      <c r="N3" s="131">
        <f t="shared" ref="N3:N5" si="0">H3+I3+J3+K3+L3+M3</f>
        <v>185696.17162110511</v>
      </c>
      <c r="O3" s="131">
        <f t="shared" ref="O3:O37" si="1">N3-M3</f>
        <v>54304.658406392118</v>
      </c>
      <c r="P3" s="136">
        <f t="shared" ref="P3:P37" si="2">O3/N3</f>
        <v>0.29243822278251091</v>
      </c>
      <c r="Q3" s="133">
        <f>O3-O2</f>
        <v>781.55824439210119</v>
      </c>
      <c r="R3" s="151">
        <f>(O3/O2)-1</f>
        <v>1.460226037031731E-2</v>
      </c>
      <c r="S3" s="151">
        <f>(N3/N2)-1</f>
        <v>4.7928810529842991E-2</v>
      </c>
    </row>
    <row r="4" spans="1:19" x14ac:dyDescent="0.25">
      <c r="A4" s="139">
        <v>2017</v>
      </c>
      <c r="B4" s="139">
        <v>1</v>
      </c>
      <c r="C4" s="150" t="s">
        <v>10</v>
      </c>
      <c r="D4" s="131">
        <f>PAPI_BV!D12</f>
        <v>22029.758200941127</v>
      </c>
      <c r="E4" s="131">
        <f>PAPI_BV!E12</f>
        <v>27765.759373179124</v>
      </c>
      <c r="F4" s="131">
        <f>PAPI_BV!F12</f>
        <v>143018.53183222251</v>
      </c>
      <c r="G4" s="131">
        <v>192814.04940634273</v>
      </c>
      <c r="H4" s="131">
        <f>PAPI_BV!H12</f>
        <v>296.29634500990011</v>
      </c>
      <c r="I4" s="131">
        <f>PAPI_BV!I12</f>
        <v>20853.971423940729</v>
      </c>
      <c r="J4" s="131">
        <f>PAPI_BV!J12</f>
        <v>10688.048482708389</v>
      </c>
      <c r="K4" s="131">
        <f>PAPI_BV!K12</f>
        <v>20160.933934957149</v>
      </c>
      <c r="L4" s="131">
        <f>PAPI_BV!L12</f>
        <v>2845.9151700458078</v>
      </c>
      <c r="M4" s="131">
        <f>PAPI_BV!M12</f>
        <v>137968.8840496807</v>
      </c>
      <c r="N4" s="131">
        <f t="shared" si="0"/>
        <v>192814.04940634267</v>
      </c>
      <c r="O4" s="131">
        <f t="shared" si="1"/>
        <v>54845.165356661979</v>
      </c>
      <c r="P4" s="136">
        <f t="shared" si="2"/>
        <v>0.28444589761755107</v>
      </c>
      <c r="Q4" s="133">
        <f>O4-O3</f>
        <v>540.50695026986068</v>
      </c>
      <c r="R4" s="151">
        <f>(O4/O3)-1</f>
        <v>9.9532335923180337E-3</v>
      </c>
      <c r="S4" s="151">
        <f>(N4/N3)-1</f>
        <v>3.8330772913083511E-2</v>
      </c>
    </row>
    <row r="5" spans="1:19" x14ac:dyDescent="0.25">
      <c r="A5" s="139">
        <v>2022</v>
      </c>
      <c r="B5" s="139">
        <v>1</v>
      </c>
      <c r="C5" s="150" t="s">
        <v>10</v>
      </c>
      <c r="D5" s="131">
        <f>PAPI_BV!D3</f>
        <v>21811.047258203231</v>
      </c>
      <c r="E5" s="131">
        <f>PAPI_BV!E3</f>
        <v>28185.794247693218</v>
      </c>
      <c r="F5" s="131">
        <f>PAPI_BV!F3</f>
        <v>147742.4199917347</v>
      </c>
      <c r="G5" s="131">
        <v>197739.2614976312</v>
      </c>
      <c r="H5" s="131">
        <f>PAPI_BV!H3</f>
        <v>251.34285292870001</v>
      </c>
      <c r="I5" s="131">
        <f>PAPI_BV!I3</f>
        <v>20593.301355424937</v>
      </c>
      <c r="J5" s="131">
        <f>PAPI_BV!J3</f>
        <v>11019.598320192559</v>
      </c>
      <c r="K5" s="131">
        <f>PAPI_BV!K3</f>
        <v>20259.507644386198</v>
      </c>
      <c r="L5" s="131">
        <f>PAPI_BV!L3</f>
        <v>2620.4428128769991</v>
      </c>
      <c r="M5" s="131">
        <f>PAPI_BV!M3</f>
        <v>142995.06851182171</v>
      </c>
      <c r="N5" s="131">
        <f t="shared" si="0"/>
        <v>197739.26149763112</v>
      </c>
      <c r="O5" s="131">
        <f t="shared" si="1"/>
        <v>54744.192985809408</v>
      </c>
      <c r="P5" s="136">
        <f t="shared" si="2"/>
        <v>0.27685039668495592</v>
      </c>
      <c r="Q5" s="133">
        <f>O5-O4</f>
        <v>-100.97237085257075</v>
      </c>
      <c r="R5" s="151">
        <f>(O5/O4)-1</f>
        <v>-1.8410441503082797E-3</v>
      </c>
      <c r="S5" s="151">
        <f>(N5/N4)-1</f>
        <v>2.5543844478411959E-2</v>
      </c>
    </row>
    <row r="6" spans="1:19" x14ac:dyDescent="0.25">
      <c r="A6" s="139">
        <v>2007</v>
      </c>
      <c r="B6" s="139">
        <v>2</v>
      </c>
      <c r="C6" s="150" t="s">
        <v>11</v>
      </c>
      <c r="D6" s="131">
        <f>PAPI_BV!D31</f>
        <v>7878.5505249999906</v>
      </c>
      <c r="E6" s="131">
        <f>PAPI_BV!E31</f>
        <v>16960.921590999998</v>
      </c>
      <c r="F6" s="131">
        <f>PAPI_BV!F31</f>
        <v>32963.082415000019</v>
      </c>
      <c r="G6" s="131">
        <f>D6+E6+F6</f>
        <v>57802.554531000009</v>
      </c>
      <c r="H6" s="131">
        <f>PAPI_BV!H31</f>
        <v>0</v>
      </c>
      <c r="I6" s="131">
        <f>PAPI_BV!I31</f>
        <v>9741.4965239999583</v>
      </c>
      <c r="J6" s="131">
        <f>PAPI_BV!J31</f>
        <v>8666.4307799999806</v>
      </c>
      <c r="K6" s="131">
        <f>PAPI_BV!K31</f>
        <v>6431.5448120000201</v>
      </c>
      <c r="L6" s="131">
        <f>PAPI_BV!L31</f>
        <v>5477.8670770000299</v>
      </c>
      <c r="M6" s="131">
        <f>PAPI_BV!M31</f>
        <v>27485.215337999998</v>
      </c>
      <c r="N6" s="131">
        <f>H6+I6+J6+K6+L6+M6</f>
        <v>57802.554530999987</v>
      </c>
      <c r="O6" s="131">
        <f t="shared" si="1"/>
        <v>30317.339192999989</v>
      </c>
      <c r="P6" s="136">
        <f t="shared" si="2"/>
        <v>0.52449825858025967</v>
      </c>
      <c r="Q6" s="152"/>
      <c r="R6" s="144"/>
      <c r="S6" s="144"/>
    </row>
    <row r="7" spans="1:19" x14ac:dyDescent="0.25">
      <c r="A7" s="139">
        <v>2012</v>
      </c>
      <c r="B7" s="139">
        <v>2</v>
      </c>
      <c r="C7" s="150" t="s">
        <v>11</v>
      </c>
      <c r="D7" s="131">
        <f>PAPI_BV!D22</f>
        <v>9721.3791314635109</v>
      </c>
      <c r="E7" s="131">
        <f>PAPI_BV!E22</f>
        <v>17901.733961558199</v>
      </c>
      <c r="F7" s="131">
        <f>PAPI_BV!F22</f>
        <v>35836.869153359221</v>
      </c>
      <c r="G7" s="131">
        <f t="shared" ref="G7:G9" si="3">D7+E7+F7</f>
        <v>63459.982246380932</v>
      </c>
      <c r="H7" s="131">
        <f>PAPI_BV!H22</f>
        <v>0</v>
      </c>
      <c r="I7" s="131">
        <f>PAPI_BV!I22</f>
        <v>10956.164854221899</v>
      </c>
      <c r="J7" s="131">
        <f>PAPI_BV!J22</f>
        <v>9699.84019643385</v>
      </c>
      <c r="K7" s="131">
        <f>PAPI_BV!K22</f>
        <v>6967.1080423658095</v>
      </c>
      <c r="L7" s="131">
        <f>PAPI_BV!L22</f>
        <v>5772.5218745351413</v>
      </c>
      <c r="M7" s="131">
        <f>PAPI_BV!M22</f>
        <v>30064.3472788242</v>
      </c>
      <c r="N7" s="131">
        <f t="shared" ref="N7:N8" si="4">H7+I7+J7+K7+L7+M7</f>
        <v>63459.982246380903</v>
      </c>
      <c r="O7" s="131">
        <f t="shared" si="1"/>
        <v>33395.634967556703</v>
      </c>
      <c r="P7" s="136">
        <f t="shared" si="2"/>
        <v>0.5262471527000977</v>
      </c>
      <c r="Q7" s="152">
        <f>O7-O6</f>
        <v>3078.2957745567146</v>
      </c>
      <c r="R7" s="144">
        <f>(O7/O6)-1</f>
        <v>0.10153581602133044</v>
      </c>
      <c r="S7" s="144">
        <f>(N7/N6)-1</f>
        <v>9.7875046549141587E-2</v>
      </c>
    </row>
    <row r="8" spans="1:19" x14ac:dyDescent="0.25">
      <c r="A8" s="139">
        <v>2017</v>
      </c>
      <c r="B8" s="139">
        <v>2</v>
      </c>
      <c r="C8" s="150" t="s">
        <v>11</v>
      </c>
      <c r="D8" s="131">
        <f>PAPI_BV!D13</f>
        <v>10013.2922461334</v>
      </c>
      <c r="E8" s="131">
        <f>PAPI_BV!E13</f>
        <v>19313.417124339299</v>
      </c>
      <c r="F8" s="131">
        <f>PAPI_BV!F13</f>
        <v>38992.781569518622</v>
      </c>
      <c r="G8" s="131">
        <f t="shared" si="3"/>
        <v>68319.490939991316</v>
      </c>
      <c r="H8" s="131">
        <f>PAPI_BV!H13</f>
        <v>0</v>
      </c>
      <c r="I8" s="131">
        <f>PAPI_BV!I13</f>
        <v>11797.625497721201</v>
      </c>
      <c r="J8" s="131">
        <f>PAPI_BV!J13</f>
        <v>9764.8536992052195</v>
      </c>
      <c r="K8" s="131">
        <f>PAPI_BV!K13</f>
        <v>7764.2301735462406</v>
      </c>
      <c r="L8" s="131">
        <f>PAPI_BV!L13</f>
        <v>5895.1928935568376</v>
      </c>
      <c r="M8" s="131">
        <f>PAPI_BV!M13</f>
        <v>33097.588675961793</v>
      </c>
      <c r="N8" s="131">
        <f t="shared" si="4"/>
        <v>68319.490939991287</v>
      </c>
      <c r="O8" s="131">
        <f t="shared" si="1"/>
        <v>35221.902264029493</v>
      </c>
      <c r="P8" s="136">
        <f t="shared" si="2"/>
        <v>0.51554690732351616</v>
      </c>
      <c r="Q8" s="152">
        <f>O8-O7</f>
        <v>1826.2672964727899</v>
      </c>
      <c r="R8" s="144">
        <f>(O8/O7)-1</f>
        <v>5.4685808437149985E-2</v>
      </c>
      <c r="S8" s="144">
        <f>(N8/N7)-1</f>
        <v>7.6575954193361273E-2</v>
      </c>
    </row>
    <row r="9" spans="1:19" x14ac:dyDescent="0.25">
      <c r="A9" s="139">
        <v>2022</v>
      </c>
      <c r="B9" s="139">
        <v>2</v>
      </c>
      <c r="C9" s="150" t="s">
        <v>11</v>
      </c>
      <c r="D9" s="131">
        <f>PAPI_BV!D4</f>
        <v>10336.120101359</v>
      </c>
      <c r="E9" s="131">
        <f>PAPI_BV!E4</f>
        <v>19988.317096831401</v>
      </c>
      <c r="F9" s="131">
        <f>PAPI_BV!F4</f>
        <v>40582.746504645038</v>
      </c>
      <c r="G9" s="131">
        <f t="shared" si="3"/>
        <v>70907.183702835435</v>
      </c>
      <c r="H9" s="131">
        <f>PAPI_BV!H4</f>
        <v>0</v>
      </c>
      <c r="I9" s="131">
        <f>PAPI_BV!I4</f>
        <v>12119.654044386099</v>
      </c>
      <c r="J9" s="131">
        <f>PAPI_BV!J4</f>
        <v>9958.0527646955197</v>
      </c>
      <c r="K9" s="131">
        <f>PAPI_BV!K4</f>
        <v>8246.7303891087467</v>
      </c>
      <c r="L9" s="131">
        <f>PAPI_BV!L4</f>
        <v>5856.4149302973337</v>
      </c>
      <c r="M9" s="131">
        <f>PAPI_BV!M4</f>
        <v>34726.3315743477</v>
      </c>
      <c r="N9" s="131">
        <f>H9+I9+J9+K9+L9+M9</f>
        <v>70907.183702835406</v>
      </c>
      <c r="O9" s="131">
        <f t="shared" si="1"/>
        <v>36180.852128487706</v>
      </c>
      <c r="P9" s="136">
        <f t="shared" si="2"/>
        <v>0.51025651054084842</v>
      </c>
      <c r="Q9" s="152">
        <f>O9-O8</f>
        <v>958.94986445821269</v>
      </c>
      <c r="R9" s="144">
        <f>(O9/O8)-1</f>
        <v>2.7225953251183155E-2</v>
      </c>
      <c r="S9" s="144">
        <f>(N9/N8)-1</f>
        <v>3.7876347250845654E-2</v>
      </c>
    </row>
    <row r="10" spans="1:19" x14ac:dyDescent="0.25">
      <c r="A10" s="108">
        <v>2007</v>
      </c>
      <c r="B10" s="108">
        <v>3</v>
      </c>
      <c r="C10" s="145" t="s">
        <v>12</v>
      </c>
      <c r="D10" s="111">
        <f>PAPI_BV!D32</f>
        <v>44708.265445000012</v>
      </c>
      <c r="E10" s="111">
        <f>PAPI_BV!E32</f>
        <v>93814.882206000097</v>
      </c>
      <c r="F10" s="111">
        <f>PAPI_BV!F32</f>
        <v>127596.83693699999</v>
      </c>
      <c r="G10" s="111">
        <f>D10+E10+F10</f>
        <v>266119.98458800011</v>
      </c>
      <c r="H10" s="111">
        <f>PAPI_BV!H32</f>
        <v>18588.988031000001</v>
      </c>
      <c r="I10" s="111">
        <f>PAPI_BV!I32</f>
        <v>39005.033507000007</v>
      </c>
      <c r="J10" s="111">
        <f>PAPI_BV!J32</f>
        <v>56950.4585350001</v>
      </c>
      <c r="K10" s="111">
        <f>PAPI_BV!K32</f>
        <v>23978.667578000099</v>
      </c>
      <c r="L10" s="111">
        <f>PAPI_BV!L32</f>
        <v>2161.0628620000298</v>
      </c>
      <c r="M10" s="111">
        <f>PAPI_BV!M32</f>
        <v>125435.77407499999</v>
      </c>
      <c r="N10" s="111">
        <f>H10+I10+J10+K10+L10+M10</f>
        <v>266119.98458800022</v>
      </c>
      <c r="O10" s="111">
        <f t="shared" si="1"/>
        <v>140684.21051300023</v>
      </c>
      <c r="P10" s="146">
        <f t="shared" si="2"/>
        <v>0.52864955155774462</v>
      </c>
      <c r="Q10" s="152"/>
      <c r="R10" s="144"/>
      <c r="S10" s="144"/>
    </row>
    <row r="11" spans="1:19" x14ac:dyDescent="0.25">
      <c r="A11" s="108">
        <v>2012</v>
      </c>
      <c r="B11" s="108">
        <v>3</v>
      </c>
      <c r="C11" s="145" t="s">
        <v>12</v>
      </c>
      <c r="D11" s="111">
        <f>PAPI_BV!D23</f>
        <v>48461.966197708338</v>
      </c>
      <c r="E11" s="111">
        <f>PAPI_BV!E23</f>
        <v>96311.568409950007</v>
      </c>
      <c r="F11" s="111">
        <f>PAPI_BV!F23</f>
        <v>136985.4965917852</v>
      </c>
      <c r="G11" s="111">
        <f t="shared" ref="G11:G13" si="5">D11+E11+F11</f>
        <v>281759.0311994435</v>
      </c>
      <c r="H11" s="111">
        <f>PAPI_BV!H23</f>
        <v>19041.1187323964</v>
      </c>
      <c r="I11" s="111">
        <f>PAPI_BV!I23</f>
        <v>42163.260827335333</v>
      </c>
      <c r="J11" s="111">
        <f>PAPI_BV!J23</f>
        <v>59107.4284853227</v>
      </c>
      <c r="K11" s="111">
        <f>PAPI_BV!K23</f>
        <v>24461.726562603901</v>
      </c>
      <c r="L11" s="111">
        <f>PAPI_BV!L23</f>
        <v>2218.14667814013</v>
      </c>
      <c r="M11" s="111">
        <f>PAPI_BV!M23</f>
        <v>134767.3499136442</v>
      </c>
      <c r="N11" s="111">
        <f t="shared" ref="N11:N13" si="6">H11+I11+J11+K11+L11+M11</f>
        <v>281759.03119944269</v>
      </c>
      <c r="O11" s="111">
        <f t="shared" si="1"/>
        <v>146991.68128579849</v>
      </c>
      <c r="P11" s="146">
        <f t="shared" si="2"/>
        <v>0.52169288295767402</v>
      </c>
      <c r="Q11" s="152">
        <f>O11-O10</f>
        <v>6307.4707727982604</v>
      </c>
      <c r="R11" s="144">
        <f>(O11/O10)-1</f>
        <v>4.4834247921627268E-2</v>
      </c>
      <c r="S11" s="144">
        <f>(N11/N10)-1</f>
        <v>5.8766900335029071E-2</v>
      </c>
    </row>
    <row r="12" spans="1:19" x14ac:dyDescent="0.25">
      <c r="A12" s="108">
        <v>2017</v>
      </c>
      <c r="B12" s="108">
        <v>3</v>
      </c>
      <c r="C12" s="145" t="s">
        <v>12</v>
      </c>
      <c r="D12" s="111">
        <f>PAPI_BV!D14</f>
        <v>51678.403222337394</v>
      </c>
      <c r="E12" s="111">
        <f>PAPI_BV!E14</f>
        <v>102916.1951009965</v>
      </c>
      <c r="F12" s="111">
        <f>PAPI_BV!F14</f>
        <v>146593.11478010041</v>
      </c>
      <c r="G12" s="111">
        <f t="shared" si="5"/>
        <v>301187.7131034343</v>
      </c>
      <c r="H12" s="111">
        <f>PAPI_BV!H14</f>
        <v>20431.415073724202</v>
      </c>
      <c r="I12" s="111">
        <f>PAPI_BV!I14</f>
        <v>46266.692998007202</v>
      </c>
      <c r="J12" s="111">
        <f>PAPI_BV!J14</f>
        <v>61011.339464148303</v>
      </c>
      <c r="K12" s="111">
        <f>PAPI_BV!K14</f>
        <v>26885.150787454502</v>
      </c>
      <c r="L12" s="111">
        <f>PAPI_BV!L14</f>
        <v>2229.8866720087281</v>
      </c>
      <c r="M12" s="111">
        <f>PAPI_BV!M14</f>
        <v>144363.2281080914</v>
      </c>
      <c r="N12" s="111">
        <f t="shared" si="6"/>
        <v>301187.7131034343</v>
      </c>
      <c r="O12" s="111">
        <f t="shared" si="1"/>
        <v>156824.48499534291</v>
      </c>
      <c r="P12" s="146">
        <f t="shared" si="2"/>
        <v>0.52068686129133701</v>
      </c>
      <c r="Q12" s="152">
        <f>O12-O11</f>
        <v>9832.8037095444161</v>
      </c>
      <c r="R12" s="144">
        <f>(O12/O11)-1</f>
        <v>6.6893606655374693E-2</v>
      </c>
      <c r="S12" s="144">
        <f>(N12/N11)-1</f>
        <v>6.8954957082596691E-2</v>
      </c>
    </row>
    <row r="13" spans="1:19" x14ac:dyDescent="0.25">
      <c r="A13" s="108">
        <v>2022</v>
      </c>
      <c r="B13" s="108">
        <v>3</v>
      </c>
      <c r="C13" s="145" t="s">
        <v>12</v>
      </c>
      <c r="D13" s="111">
        <f>PAPI_BV!D5</f>
        <v>51122.824808695499</v>
      </c>
      <c r="E13" s="111">
        <f>PAPI_BV!E5</f>
        <v>103905.12021780231</v>
      </c>
      <c r="F13" s="111">
        <f>PAPI_BV!F5</f>
        <v>149435.64841599931</v>
      </c>
      <c r="G13" s="111">
        <f t="shared" si="5"/>
        <v>304463.59344249713</v>
      </c>
      <c r="H13" s="111">
        <f>PAPI_BV!H5</f>
        <v>19931.428803685401</v>
      </c>
      <c r="I13" s="111">
        <f>PAPI_BV!I5</f>
        <v>46872.887674156402</v>
      </c>
      <c r="J13" s="111">
        <f>PAPI_BV!J5</f>
        <v>61653.244031162401</v>
      </c>
      <c r="K13" s="111">
        <f>PAPI_BV!K5</f>
        <v>26570.384517493902</v>
      </c>
      <c r="L13" s="111">
        <f>PAPI_BV!L5</f>
        <v>2257.2925897457339</v>
      </c>
      <c r="M13" s="111">
        <f>PAPI_BV!M5</f>
        <v>147178.3558262533</v>
      </c>
      <c r="N13" s="111">
        <f t="shared" si="6"/>
        <v>304463.59344249713</v>
      </c>
      <c r="O13" s="111">
        <f t="shared" si="1"/>
        <v>157285.23761624383</v>
      </c>
      <c r="P13" s="146">
        <f t="shared" si="2"/>
        <v>0.51659784947637655</v>
      </c>
      <c r="Q13" s="152">
        <f>O13-O12</f>
        <v>460.75262090092292</v>
      </c>
      <c r="R13" s="144">
        <f>(O13/O12)-1</f>
        <v>2.9380145639541499E-3</v>
      </c>
      <c r="S13" s="144">
        <f>(N13/N12)-1</f>
        <v>1.0876540431574044E-2</v>
      </c>
    </row>
    <row r="14" spans="1:19" x14ac:dyDescent="0.25">
      <c r="A14" s="139">
        <v>2007</v>
      </c>
      <c r="B14" s="139">
        <v>4</v>
      </c>
      <c r="C14" s="150" t="s">
        <v>13</v>
      </c>
      <c r="D14" s="131">
        <f>PAPI_BV!D33</f>
        <v>19871.076157</v>
      </c>
      <c r="E14" s="131">
        <f>PAPI_BV!E33</f>
        <v>22341.263518</v>
      </c>
      <c r="F14" s="131">
        <f>PAPI_BV!F33</f>
        <v>76032.1825290001</v>
      </c>
      <c r="G14" s="131">
        <f>D14+E14+F14</f>
        <v>118244.5222040001</v>
      </c>
      <c r="H14" s="131">
        <f>PAPI_BV!H33</f>
        <v>0</v>
      </c>
      <c r="I14" s="131">
        <f>PAPI_BV!I33</f>
        <v>21896.104772999901</v>
      </c>
      <c r="J14" s="131">
        <f>PAPI_BV!J33</f>
        <v>13926.346635</v>
      </c>
      <c r="K14" s="131">
        <f>PAPI_BV!K33</f>
        <v>7465.7261960000196</v>
      </c>
      <c r="L14" s="131">
        <f>PAPI_BV!L33</f>
        <v>8893.0512250000993</v>
      </c>
      <c r="M14" s="131">
        <f>PAPI_BV!M33</f>
        <v>66063.293375000096</v>
      </c>
      <c r="N14" s="131">
        <f>H14+I14+J14+K14+L14+M14</f>
        <v>118244.52220400011</v>
      </c>
      <c r="O14" s="131">
        <f t="shared" si="1"/>
        <v>52181.228829000014</v>
      </c>
      <c r="P14" s="136">
        <f t="shared" si="2"/>
        <v>0.4412993334183794</v>
      </c>
      <c r="Q14" s="152"/>
      <c r="R14" s="144"/>
      <c r="S14" s="144"/>
    </row>
    <row r="15" spans="1:19" x14ac:dyDescent="0.25">
      <c r="A15" s="139">
        <v>2012</v>
      </c>
      <c r="B15" s="139">
        <v>4</v>
      </c>
      <c r="C15" s="150" t="s">
        <v>13</v>
      </c>
      <c r="D15" s="131">
        <f>PAPI_BV!D24</f>
        <v>21803.3208255352</v>
      </c>
      <c r="E15" s="131">
        <f>PAPI_BV!E24</f>
        <v>23365.625414347898</v>
      </c>
      <c r="F15" s="131">
        <f>PAPI_BV!F24</f>
        <v>84143.554920661656</v>
      </c>
      <c r="G15" s="131">
        <f t="shared" ref="G15:G17" si="7">D15+E15+F15</f>
        <v>129312.50116054475</v>
      </c>
      <c r="H15" s="131">
        <f>PAPI_BV!H24</f>
        <v>0</v>
      </c>
      <c r="I15" s="131">
        <f>PAPI_BV!I24</f>
        <v>23701.1092837699</v>
      </c>
      <c r="J15" s="131">
        <f>PAPI_BV!J24</f>
        <v>14716.3318792343</v>
      </c>
      <c r="K15" s="131">
        <f>PAPI_BV!K24</f>
        <v>7777.4293764761096</v>
      </c>
      <c r="L15" s="131">
        <f>PAPI_BV!L24</f>
        <v>9425.4453978076799</v>
      </c>
      <c r="M15" s="131">
        <f>PAPI_BV!M24</f>
        <v>73692.185223256558</v>
      </c>
      <c r="N15" s="131">
        <f t="shared" ref="N15:N17" si="8">H15+I15+J15+K15+L15+M15</f>
        <v>129312.50116054455</v>
      </c>
      <c r="O15" s="131">
        <f t="shared" si="1"/>
        <v>55620.315937287989</v>
      </c>
      <c r="P15" s="136">
        <f t="shared" si="2"/>
        <v>0.43012327066687889</v>
      </c>
      <c r="Q15" s="152">
        <f>O15-O14</f>
        <v>3439.0871082879748</v>
      </c>
      <c r="R15" s="144">
        <f>(O15/O14)-1</f>
        <v>6.5906594870695834E-2</v>
      </c>
      <c r="S15" s="144">
        <f>(N15/N14)-1</f>
        <v>9.3602466737947587E-2</v>
      </c>
    </row>
    <row r="16" spans="1:19" x14ac:dyDescent="0.25">
      <c r="A16" s="139">
        <v>2017</v>
      </c>
      <c r="B16" s="139">
        <v>4</v>
      </c>
      <c r="C16" s="150" t="s">
        <v>13</v>
      </c>
      <c r="D16" s="131">
        <f>PAPI_BV!D15</f>
        <v>22592.794931762401</v>
      </c>
      <c r="E16" s="131">
        <f>PAPI_BV!E15</f>
        <v>24049.062986503999</v>
      </c>
      <c r="F16" s="131">
        <f>PAPI_BV!F15</f>
        <v>85381.559356048252</v>
      </c>
      <c r="G16" s="131">
        <f t="shared" si="7"/>
        <v>132023.41727431465</v>
      </c>
      <c r="H16" s="131">
        <f>PAPI_BV!H15</f>
        <v>0</v>
      </c>
      <c r="I16" s="131">
        <f>PAPI_BV!I15</f>
        <v>24538.687353656998</v>
      </c>
      <c r="J16" s="131">
        <f>PAPI_BV!J15</f>
        <v>14984.0651227256</v>
      </c>
      <c r="K16" s="131">
        <f>PAPI_BV!K15</f>
        <v>8139.5461107726305</v>
      </c>
      <c r="L16" s="131">
        <f>PAPI_BV!L15</f>
        <v>9234.8128694287807</v>
      </c>
      <c r="M16" s="131">
        <f>PAPI_BV!M15</f>
        <v>75126.305817730739</v>
      </c>
      <c r="N16" s="131">
        <f t="shared" si="8"/>
        <v>132023.41727431474</v>
      </c>
      <c r="O16" s="131">
        <f t="shared" si="1"/>
        <v>56897.111456583996</v>
      </c>
      <c r="P16" s="136">
        <f t="shared" si="2"/>
        <v>0.43096226890086248</v>
      </c>
      <c r="Q16" s="152">
        <f>O16-O15</f>
        <v>1276.7955192960071</v>
      </c>
      <c r="R16" s="144">
        <f>(O16/O15)-1</f>
        <v>2.2955560352005078E-2</v>
      </c>
      <c r="S16" s="144">
        <f>(N16/N15)-1</f>
        <v>2.0964068357200327E-2</v>
      </c>
    </row>
    <row r="17" spans="1:19" x14ac:dyDescent="0.25">
      <c r="A17" s="139">
        <v>2022</v>
      </c>
      <c r="B17" s="139">
        <v>4</v>
      </c>
      <c r="C17" s="150" t="s">
        <v>13</v>
      </c>
      <c r="D17" s="131">
        <f>PAPI_BV!D6</f>
        <v>23010.866384563902</v>
      </c>
      <c r="E17" s="131">
        <f>PAPI_BV!E6</f>
        <v>24475.548582596301</v>
      </c>
      <c r="F17" s="131">
        <f>PAPI_BV!F6</f>
        <v>88375.298346099793</v>
      </c>
      <c r="G17" s="131">
        <f t="shared" si="7"/>
        <v>135861.71331326</v>
      </c>
      <c r="H17" s="131">
        <f>PAPI_BV!H6</f>
        <v>0</v>
      </c>
      <c r="I17" s="131">
        <f>PAPI_BV!I6</f>
        <v>25063.370009869101</v>
      </c>
      <c r="J17" s="131">
        <f>PAPI_BV!J6</f>
        <v>15178.386657720301</v>
      </c>
      <c r="K17" s="131">
        <f>PAPI_BV!K6</f>
        <v>8287.5130743388199</v>
      </c>
      <c r="L17" s="131">
        <f>PAPI_BV!L6</f>
        <v>9407.4447037140199</v>
      </c>
      <c r="M17" s="131">
        <f>PAPI_BV!M6</f>
        <v>77924.998867617498</v>
      </c>
      <c r="N17" s="131">
        <f t="shared" si="8"/>
        <v>135861.71331325974</v>
      </c>
      <c r="O17" s="131">
        <f t="shared" si="1"/>
        <v>57936.714445642239</v>
      </c>
      <c r="P17" s="136">
        <f t="shared" si="2"/>
        <v>0.42643886222791932</v>
      </c>
      <c r="Q17" s="152">
        <f>O17-O16</f>
        <v>1039.6029890582431</v>
      </c>
      <c r="R17" s="144">
        <f>(O17/O16)-1</f>
        <v>1.8271630359504742E-2</v>
      </c>
      <c r="S17" s="144">
        <f>(N17/N16)-1</f>
        <v>2.9072842668281362E-2</v>
      </c>
    </row>
    <row r="18" spans="1:19" x14ac:dyDescent="0.25">
      <c r="A18" s="139">
        <v>2007</v>
      </c>
      <c r="B18" s="139">
        <v>6</v>
      </c>
      <c r="C18" s="150" t="s">
        <v>14</v>
      </c>
      <c r="D18" s="131">
        <f>PAPI_BV!D34</f>
        <v>317.34231399999959</v>
      </c>
      <c r="E18" s="131">
        <f>PAPI_BV!E34</f>
        <v>39.031406999999987</v>
      </c>
      <c r="F18" s="131">
        <f>PAPI_BV!F34</f>
        <v>14213.53717900001</v>
      </c>
      <c r="G18" s="131">
        <f>D18+E18+F18</f>
        <v>14569.91090000001</v>
      </c>
      <c r="H18" s="131">
        <f>PAPI_BV!H34</f>
        <v>0</v>
      </c>
      <c r="I18" s="131">
        <f>PAPI_BV!I34</f>
        <v>253.70414200000079</v>
      </c>
      <c r="J18" s="131">
        <f>PAPI_BV!J34</f>
        <v>11.030616</v>
      </c>
      <c r="K18" s="131">
        <f>PAPI_BV!K34</f>
        <v>91.638963000000189</v>
      </c>
      <c r="L18" s="131">
        <f>PAPI_BV!L34</f>
        <v>4099.5719350000027</v>
      </c>
      <c r="M18" s="131">
        <f>PAPI_BV!M34</f>
        <v>10113.965244000021</v>
      </c>
      <c r="N18" s="131">
        <f>H18+I18+J18+K18+L18+M18</f>
        <v>14569.910900000024</v>
      </c>
      <c r="O18" s="131">
        <f t="shared" si="1"/>
        <v>4455.9456560000035</v>
      </c>
      <c r="P18" s="136">
        <f t="shared" si="2"/>
        <v>0.30583204568533057</v>
      </c>
      <c r="Q18" s="131"/>
      <c r="R18" s="137"/>
      <c r="S18" s="137"/>
    </row>
    <row r="19" spans="1:19" x14ac:dyDescent="0.25">
      <c r="A19" s="139">
        <v>2012</v>
      </c>
      <c r="B19" s="139">
        <v>6</v>
      </c>
      <c r="C19" s="150" t="s">
        <v>14</v>
      </c>
      <c r="D19" s="131">
        <f>PAPI_BV!D25</f>
        <v>344.50204638059807</v>
      </c>
      <c r="E19" s="131">
        <f>PAPI_BV!E25</f>
        <v>45.982264665200013</v>
      </c>
      <c r="F19" s="131">
        <f>PAPI_BV!F25</f>
        <v>13738.12098393278</v>
      </c>
      <c r="G19" s="131">
        <f t="shared" ref="G19:G21" si="9">D19+E19+F19</f>
        <v>14128.605294978579</v>
      </c>
      <c r="H19" s="131">
        <f>PAPI_BV!H25</f>
        <v>0</v>
      </c>
      <c r="I19" s="131">
        <f>PAPI_BV!I25</f>
        <v>270.78444747330002</v>
      </c>
      <c r="J19" s="131">
        <f>PAPI_BV!J25</f>
        <v>13.8676671212</v>
      </c>
      <c r="K19" s="131">
        <f>PAPI_BV!K25</f>
        <v>105.83219645129969</v>
      </c>
      <c r="L19" s="131">
        <f>PAPI_BV!L25</f>
        <v>4009.4076763845992</v>
      </c>
      <c r="M19" s="131">
        <f>PAPI_BV!M25</f>
        <v>9728.7133075481888</v>
      </c>
      <c r="N19" s="131">
        <f t="shared" ref="N19:N21" si="10">H19+I19+J19+K19+L19+M19</f>
        <v>14128.605294978588</v>
      </c>
      <c r="O19" s="131">
        <f t="shared" si="1"/>
        <v>4399.8919874303992</v>
      </c>
      <c r="P19" s="136">
        <f t="shared" si="2"/>
        <v>0.31141729106086313</v>
      </c>
      <c r="Q19" s="131">
        <f>O19-O18</f>
        <v>-56.05366856960427</v>
      </c>
      <c r="R19" s="137">
        <f>(O19/O18)-1</f>
        <v>-1.2579522484554295E-2</v>
      </c>
      <c r="S19" s="137">
        <f>(N19/N18)-1</f>
        <v>-3.0288833476767252E-2</v>
      </c>
    </row>
    <row r="20" spans="1:19" x14ac:dyDescent="0.25">
      <c r="A20" s="139">
        <v>2017</v>
      </c>
      <c r="B20" s="139">
        <v>6</v>
      </c>
      <c r="C20" s="150" t="s">
        <v>14</v>
      </c>
      <c r="D20" s="131">
        <f>PAPI_BV!D16</f>
        <v>341.74850298389839</v>
      </c>
      <c r="E20" s="131">
        <f>PAPI_BV!E16</f>
        <v>42.371257484099992</v>
      </c>
      <c r="F20" s="131">
        <f>PAPI_BV!F16</f>
        <v>13832.22907113644</v>
      </c>
      <c r="G20" s="131">
        <f t="shared" si="9"/>
        <v>14216.348831604439</v>
      </c>
      <c r="H20" s="131">
        <f>PAPI_BV!H16</f>
        <v>0</v>
      </c>
      <c r="I20" s="131">
        <f>PAPI_BV!I16</f>
        <v>268.81437125010012</v>
      </c>
      <c r="J20" s="131">
        <f>PAPI_BV!J16</f>
        <v>15.281437125299989</v>
      </c>
      <c r="K20" s="131">
        <f>PAPI_BV!K16</f>
        <v>100.0239520926001</v>
      </c>
      <c r="L20" s="131">
        <f>PAPI_BV!L16</f>
        <v>4060.3712260471011</v>
      </c>
      <c r="M20" s="131">
        <f>PAPI_BV!M16</f>
        <v>9771.857845089391</v>
      </c>
      <c r="N20" s="131">
        <f t="shared" si="10"/>
        <v>14216.348831604493</v>
      </c>
      <c r="O20" s="131">
        <f t="shared" si="1"/>
        <v>4444.4909865151021</v>
      </c>
      <c r="P20" s="136">
        <f t="shared" si="2"/>
        <v>0.31263238115222064</v>
      </c>
      <c r="Q20" s="131">
        <f>O20-O19</f>
        <v>44.598999084702882</v>
      </c>
      <c r="R20" s="137">
        <f>(O20/O19)-1</f>
        <v>1.0136384986748181E-2</v>
      </c>
      <c r="S20" s="137">
        <f>(N20/N19)-1</f>
        <v>6.2103466544634056E-3</v>
      </c>
    </row>
    <row r="21" spans="1:19" x14ac:dyDescent="0.25">
      <c r="A21" s="139">
        <v>2022</v>
      </c>
      <c r="B21" s="139">
        <v>6</v>
      </c>
      <c r="C21" s="150" t="s">
        <v>14</v>
      </c>
      <c r="D21" s="131">
        <f>PAPI_BV!D7</f>
        <v>335.32175689289949</v>
      </c>
      <c r="E21" s="131">
        <f>PAPI_BV!E7</f>
        <v>41.192543411399967</v>
      </c>
      <c r="F21" s="131">
        <f>PAPI_BV!F7</f>
        <v>13358.14504035169</v>
      </c>
      <c r="G21" s="131">
        <f t="shared" si="9"/>
        <v>13734.65934065599</v>
      </c>
      <c r="H21" s="131">
        <f>PAPI_BV!H7</f>
        <v>0</v>
      </c>
      <c r="I21" s="131">
        <f>PAPI_BV!I7</f>
        <v>267.39019407399962</v>
      </c>
      <c r="J21" s="131">
        <f>PAPI_BV!J7</f>
        <v>19.5122574054</v>
      </c>
      <c r="K21" s="131">
        <f>PAPI_BV!K7</f>
        <v>89.611848824899909</v>
      </c>
      <c r="L21" s="131">
        <f>PAPI_BV!L7</f>
        <v>3811.8429383592029</v>
      </c>
      <c r="M21" s="131">
        <f>PAPI_BV!M7</f>
        <v>9546.3021019924981</v>
      </c>
      <c r="N21" s="131">
        <f t="shared" si="10"/>
        <v>13734.659340656</v>
      </c>
      <c r="O21" s="131">
        <f t="shared" si="1"/>
        <v>4188.3572386635024</v>
      </c>
      <c r="P21" s="136">
        <f t="shared" si="2"/>
        <v>0.3049480249040859</v>
      </c>
      <c r="Q21" s="131">
        <f>O21-O20</f>
        <v>-256.13374785159976</v>
      </c>
      <c r="R21" s="137">
        <f>(O21/O20)-1</f>
        <v>-5.7629489772558329E-2</v>
      </c>
      <c r="S21" s="137">
        <f>(N21/N20)-1</f>
        <v>-3.3882785000157289E-2</v>
      </c>
    </row>
    <row r="22" spans="1:19" x14ac:dyDescent="0.25">
      <c r="A22" s="139">
        <v>2007</v>
      </c>
      <c r="B22" s="139">
        <v>7</v>
      </c>
      <c r="C22" s="147" t="s">
        <v>15</v>
      </c>
      <c r="D22" s="131">
        <f>PAPI_BV!D35</f>
        <v>9307.9328400000013</v>
      </c>
      <c r="E22" s="131">
        <f>PAPI_BV!E35</f>
        <v>10912.901020999901</v>
      </c>
      <c r="F22" s="131">
        <f>PAPI_BV!F35</f>
        <v>72761.323297000112</v>
      </c>
      <c r="G22" s="131">
        <f>D22+E22+F22</f>
        <v>92982.157158000016</v>
      </c>
      <c r="H22" s="131">
        <f>PAPI_BV!H35</f>
        <v>0</v>
      </c>
      <c r="I22" s="131">
        <f>PAPI_BV!I35</f>
        <v>9080.0253169999924</v>
      </c>
      <c r="J22" s="131">
        <f>PAPI_BV!J35</f>
        <v>3501.7137479999897</v>
      </c>
      <c r="K22" s="131">
        <f>PAPI_BV!K35</f>
        <v>8581.4010629999611</v>
      </c>
      <c r="L22" s="131">
        <f>PAPI_BV!L35</f>
        <v>1157.2365029999999</v>
      </c>
      <c r="M22" s="131">
        <f>PAPI_BV!M35</f>
        <v>70661.780518000101</v>
      </c>
      <c r="N22" s="131">
        <f>H22+I22+J22+K22+L22+M22</f>
        <v>92982.157149000035</v>
      </c>
      <c r="O22" s="131">
        <f t="shared" si="1"/>
        <v>22320.376630999934</v>
      </c>
      <c r="P22" s="136">
        <f t="shared" si="2"/>
        <v>0.24005010547596201</v>
      </c>
      <c r="Q22" s="152"/>
      <c r="R22" s="144"/>
      <c r="S22" s="144"/>
    </row>
    <row r="23" spans="1:19" x14ac:dyDescent="0.25">
      <c r="A23" s="148">
        <v>2012</v>
      </c>
      <c r="B23" s="139">
        <v>7</v>
      </c>
      <c r="C23" s="147" t="s">
        <v>15</v>
      </c>
      <c r="D23" s="131">
        <f>PAPI_BV!D26</f>
        <v>9835.5667521199885</v>
      </c>
      <c r="E23" s="131">
        <f>PAPI_BV!E26</f>
        <v>11108.838741480398</v>
      </c>
      <c r="F23" s="131">
        <f>PAPI_BV!F26</f>
        <v>75984.619587209119</v>
      </c>
      <c r="G23" s="131">
        <f t="shared" ref="G23:G25" si="11">D23+E23+F23</f>
        <v>96929.025080809515</v>
      </c>
      <c r="H23" s="131">
        <f>PAPI_BV!H26</f>
        <v>0</v>
      </c>
      <c r="I23" s="131">
        <f>PAPI_BV!I26</f>
        <v>9340.3887702960019</v>
      </c>
      <c r="J23" s="131">
        <f>PAPI_BV!J26</f>
        <v>3471.4272924897</v>
      </c>
      <c r="K23" s="131">
        <f>PAPI_BV!K26</f>
        <v>8971.3591889034287</v>
      </c>
      <c r="L23" s="131">
        <f>PAPI_BV!L26</f>
        <v>1338.1724582352999</v>
      </c>
      <c r="M23" s="131">
        <f>PAPI_BV!M26</f>
        <v>73807.677370884936</v>
      </c>
      <c r="N23" s="131">
        <f t="shared" ref="N23:N25" si="12">H23+I23+J23+K23+L23+M23</f>
        <v>96929.02508080937</v>
      </c>
      <c r="O23" s="131">
        <f t="shared" si="1"/>
        <v>23121.347709924434</v>
      </c>
      <c r="P23" s="136">
        <f t="shared" si="2"/>
        <v>0.23853894837638417</v>
      </c>
      <c r="Q23" s="152">
        <f>O23-O22</f>
        <v>800.97107892450003</v>
      </c>
      <c r="R23" s="144">
        <f>(O23/O22)-1</f>
        <v>3.5885195494956834E-2</v>
      </c>
      <c r="S23" s="144">
        <f>(N23/N22)-1</f>
        <v>4.2447584061581223E-2</v>
      </c>
    </row>
    <row r="24" spans="1:19" x14ac:dyDescent="0.25">
      <c r="A24" s="148">
        <v>2017</v>
      </c>
      <c r="B24" s="139">
        <v>7</v>
      </c>
      <c r="C24" s="147" t="s">
        <v>15</v>
      </c>
      <c r="D24" s="131">
        <f>PAPI_BV!D17</f>
        <v>10128.802669571609</v>
      </c>
      <c r="E24" s="131">
        <f>PAPI_BV!E17</f>
        <v>10913.320659282497</v>
      </c>
      <c r="F24" s="131">
        <f>PAPI_BV!F17</f>
        <v>79174.80697441347</v>
      </c>
      <c r="G24" s="131">
        <f t="shared" si="11"/>
        <v>100216.93030326758</v>
      </c>
      <c r="H24" s="131">
        <f>PAPI_BV!H17</f>
        <v>0</v>
      </c>
      <c r="I24" s="131">
        <f>PAPI_BV!I17</f>
        <v>9336.9586793133003</v>
      </c>
      <c r="J24" s="131">
        <f>PAPI_BV!J17</f>
        <v>3676.8876602842001</v>
      </c>
      <c r="K24" s="131">
        <f>PAPI_BV!K17</f>
        <v>8876.925540990329</v>
      </c>
      <c r="L24" s="131">
        <f>PAPI_BV!L17</f>
        <v>1505.9425898636998</v>
      </c>
      <c r="M24" s="131">
        <f>PAPI_BV!M17</f>
        <v>76820.215832816088</v>
      </c>
      <c r="N24" s="131">
        <f t="shared" si="12"/>
        <v>100216.93030326761</v>
      </c>
      <c r="O24" s="131">
        <f t="shared" si="1"/>
        <v>23396.714470451523</v>
      </c>
      <c r="P24" s="136">
        <f t="shared" si="2"/>
        <v>0.23346069770497316</v>
      </c>
      <c r="Q24" s="152">
        <f>O24-O23</f>
        <v>275.36676052708935</v>
      </c>
      <c r="R24" s="144">
        <f>(O24/O23)-1</f>
        <v>1.1909632776678114E-2</v>
      </c>
      <c r="S24" s="144">
        <f>(N24/N23)-1</f>
        <v>3.39207499478833E-2</v>
      </c>
    </row>
    <row r="25" spans="1:19" x14ac:dyDescent="0.25">
      <c r="A25" s="149">
        <v>2022</v>
      </c>
      <c r="B25" s="139">
        <v>7</v>
      </c>
      <c r="C25" s="147" t="s">
        <v>15</v>
      </c>
      <c r="D25" s="131">
        <f>PAPI_BV!D8</f>
        <v>9923.2800824790993</v>
      </c>
      <c r="E25" s="131">
        <f>PAPI_BV!E8</f>
        <v>10815.503674909498</v>
      </c>
      <c r="F25" s="131">
        <f>PAPI_BV!F8</f>
        <v>80557.006374384786</v>
      </c>
      <c r="G25" s="131">
        <f t="shared" si="11"/>
        <v>101295.79013177339</v>
      </c>
      <c r="H25" s="131">
        <f>PAPI_BV!H8</f>
        <v>0</v>
      </c>
      <c r="I25" s="131">
        <f>PAPI_BV!I8</f>
        <v>9193.6926293343004</v>
      </c>
      <c r="J25" s="131">
        <f>PAPI_BV!J8</f>
        <v>3636.6004326780999</v>
      </c>
      <c r="K25" s="131">
        <f>PAPI_BV!K8</f>
        <v>8776.3957002468087</v>
      </c>
      <c r="L25" s="131">
        <f>PAPI_BV!L8</f>
        <v>1643.6920857509999</v>
      </c>
      <c r="M25" s="131">
        <f>PAPI_BV!M8</f>
        <v>78045.409283763191</v>
      </c>
      <c r="N25" s="131">
        <f t="shared" si="12"/>
        <v>101295.79013177341</v>
      </c>
      <c r="O25" s="131">
        <f t="shared" si="1"/>
        <v>23250.380848010216</v>
      </c>
      <c r="P25" s="136">
        <f t="shared" si="2"/>
        <v>0.22952958674555302</v>
      </c>
      <c r="Q25" s="152">
        <f>O25-O24</f>
        <v>-146.33362244130694</v>
      </c>
      <c r="R25" s="144">
        <f>(O25/O24)-1</f>
        <v>-6.2544517789502319E-3</v>
      </c>
      <c r="S25" s="144">
        <f>(N25/N24)-1</f>
        <v>1.0765245205985208E-2</v>
      </c>
    </row>
    <row r="26" spans="1:19" x14ac:dyDescent="0.25">
      <c r="A26" s="139">
        <v>2007</v>
      </c>
      <c r="B26" s="139">
        <v>8</v>
      </c>
      <c r="C26" s="147" t="s">
        <v>16</v>
      </c>
      <c r="D26" s="133">
        <f>PAPI_BV!D36</f>
        <v>0</v>
      </c>
      <c r="E26" s="133">
        <f>PAPI_BV!E36</f>
        <v>0</v>
      </c>
      <c r="F26" s="133">
        <f>PAPI_BV!F36</f>
        <v>14775.60149399998</v>
      </c>
      <c r="G26" s="134">
        <f>D26+E26+F26</f>
        <v>14775.60149399998</v>
      </c>
      <c r="H26" s="131">
        <f>PAPI_BV!H36</f>
        <v>0</v>
      </c>
      <c r="I26" s="131">
        <f>PAPI_BV!I36</f>
        <v>691.77874100000042</v>
      </c>
      <c r="J26" s="131">
        <f>PAPI_BV!J36</f>
        <v>10.857794999999999</v>
      </c>
      <c r="K26" s="131">
        <f>PAPI_BV!K36</f>
        <v>0</v>
      </c>
      <c r="L26" s="131">
        <f>PAPI_BV!L36</f>
        <v>315.96831700000001</v>
      </c>
      <c r="M26" s="132">
        <f>PAPI_BV!M36</f>
        <v>13756.996640999991</v>
      </c>
      <c r="N26" s="131">
        <f>H26+I26+J26+K26+L26+M26</f>
        <v>14775.601493999991</v>
      </c>
      <c r="O26" s="131">
        <f t="shared" si="1"/>
        <v>1018.6048530000007</v>
      </c>
      <c r="P26" s="136">
        <f t="shared" si="2"/>
        <v>6.893830030632804E-2</v>
      </c>
      <c r="Q26" s="131"/>
      <c r="R26" s="137"/>
      <c r="S26" s="137"/>
    </row>
    <row r="27" spans="1:19" x14ac:dyDescent="0.25">
      <c r="A27" s="148">
        <v>2012</v>
      </c>
      <c r="B27" s="139">
        <v>8</v>
      </c>
      <c r="C27" s="147" t="s">
        <v>16</v>
      </c>
      <c r="D27" s="131">
        <f>PAPI_BV!D27</f>
        <v>0</v>
      </c>
      <c r="E27" s="131">
        <f>PAPI_BV!E27</f>
        <v>0</v>
      </c>
      <c r="F27" s="131">
        <f>PAPI_BV!F27</f>
        <v>15284.6266666638</v>
      </c>
      <c r="G27" s="134">
        <f t="shared" ref="G27:G29" si="13">D27+E27+F27</f>
        <v>15284.6266666638</v>
      </c>
      <c r="H27" s="131">
        <f>PAPI_BV!H27</f>
        <v>0</v>
      </c>
      <c r="I27" s="131">
        <f>PAPI_BV!I27</f>
        <v>582.59565029790053</v>
      </c>
      <c r="J27" s="131">
        <f>PAPI_BV!J27</f>
        <v>7.7681942018000001</v>
      </c>
      <c r="K27" s="131">
        <f>PAPI_BV!K27</f>
        <v>0</v>
      </c>
      <c r="L27" s="131">
        <f>PAPI_BV!L27</f>
        <v>355.95471277190001</v>
      </c>
      <c r="M27" s="132">
        <f>PAPI_BV!M27</f>
        <v>14338.308109392199</v>
      </c>
      <c r="N27" s="131">
        <f t="shared" ref="N27:N29" si="14">H27+I27+J27+K27+L27+M27</f>
        <v>15284.6266666638</v>
      </c>
      <c r="O27" s="131">
        <f t="shared" si="1"/>
        <v>946.31855727160109</v>
      </c>
      <c r="P27" s="136">
        <f t="shared" si="2"/>
        <v>6.1913095943360426E-2</v>
      </c>
      <c r="Q27" s="131">
        <f>O27-O26</f>
        <v>-72.286295728399637</v>
      </c>
      <c r="R27" s="137">
        <f>(O27/O26)-1</f>
        <v>-7.0965984027566376E-2</v>
      </c>
      <c r="S27" s="137">
        <f>(N27/N26)-1</f>
        <v>3.4450385852008214E-2</v>
      </c>
    </row>
    <row r="28" spans="1:19" x14ac:dyDescent="0.25">
      <c r="A28" s="148">
        <v>2017</v>
      </c>
      <c r="B28" s="139">
        <v>8</v>
      </c>
      <c r="C28" s="147" t="s">
        <v>16</v>
      </c>
      <c r="D28" s="131">
        <f>PAPI_BV!D18</f>
        <v>0</v>
      </c>
      <c r="E28" s="131">
        <f>PAPI_BV!E18</f>
        <v>0</v>
      </c>
      <c r="F28" s="131">
        <f>PAPI_BV!F18</f>
        <v>15368.089552215361</v>
      </c>
      <c r="G28" s="134">
        <f t="shared" si="13"/>
        <v>15368.089552215361</v>
      </c>
      <c r="H28" s="131">
        <f>PAPI_BV!H18</f>
        <v>0</v>
      </c>
      <c r="I28" s="131">
        <f>PAPI_BV!I18</f>
        <v>559.28151013210083</v>
      </c>
      <c r="J28" s="131">
        <f>PAPI_BV!J18</f>
        <v>11.3155855785</v>
      </c>
      <c r="K28" s="131">
        <f>PAPI_BV!K18</f>
        <v>0</v>
      </c>
      <c r="L28" s="131">
        <f>PAPI_BV!L18</f>
        <v>371.1790920959001</v>
      </c>
      <c r="M28" s="132">
        <f>PAPI_BV!M18</f>
        <v>14426.313364408859</v>
      </c>
      <c r="N28" s="131">
        <f t="shared" si="14"/>
        <v>15368.089552215361</v>
      </c>
      <c r="O28" s="131">
        <f t="shared" si="1"/>
        <v>941.77618780650118</v>
      </c>
      <c r="P28" s="136">
        <f t="shared" si="2"/>
        <v>6.1281279277211206E-2</v>
      </c>
      <c r="Q28" s="131">
        <f>O28-O27</f>
        <v>-4.5423694650999096</v>
      </c>
      <c r="R28" s="137">
        <f>(O28/O27)-1</f>
        <v>-4.8000426813951114E-3</v>
      </c>
      <c r="S28" s="137">
        <f>(N28/N27)-1</f>
        <v>5.4605773089371201E-3</v>
      </c>
    </row>
    <row r="29" spans="1:19" x14ac:dyDescent="0.25">
      <c r="A29" s="149">
        <v>2022</v>
      </c>
      <c r="B29" s="139">
        <v>8</v>
      </c>
      <c r="C29" s="147" t="s">
        <v>16</v>
      </c>
      <c r="D29" s="131">
        <f>PAPI_BV!D9</f>
        <v>0</v>
      </c>
      <c r="E29" s="131">
        <f>PAPI_BV!E9</f>
        <v>0</v>
      </c>
      <c r="F29" s="131">
        <f>PAPI_BV!F9</f>
        <v>15809.82561305849</v>
      </c>
      <c r="G29" s="134">
        <f t="shared" si="13"/>
        <v>15809.82561305849</v>
      </c>
      <c r="H29" s="131">
        <f>PAPI_BV!H9</f>
        <v>0</v>
      </c>
      <c r="I29" s="131">
        <f>PAPI_BV!I9</f>
        <v>585.71661017259999</v>
      </c>
      <c r="J29" s="131">
        <f>PAPI_BV!J9</f>
        <v>11.891553142599999</v>
      </c>
      <c r="K29" s="131">
        <f>PAPI_BV!K9</f>
        <v>0</v>
      </c>
      <c r="L29" s="131">
        <f>PAPI_BV!L9</f>
        <v>384.47898054780001</v>
      </c>
      <c r="M29" s="132">
        <f>PAPI_BV!M9</f>
        <v>14827.73846919549</v>
      </c>
      <c r="N29" s="131">
        <f t="shared" si="14"/>
        <v>15809.82561305849</v>
      </c>
      <c r="O29" s="131">
        <f t="shared" si="1"/>
        <v>982.08714386300016</v>
      </c>
      <c r="P29" s="136">
        <f t="shared" si="2"/>
        <v>6.2118784096633087E-2</v>
      </c>
      <c r="Q29" s="131">
        <f>O29-O28</f>
        <v>40.310956056498981</v>
      </c>
      <c r="R29" s="137">
        <f>(O29/O28)-1</f>
        <v>4.2803116683580278E-2</v>
      </c>
      <c r="S29" s="137">
        <f>(N29/N28)-1</f>
        <v>2.8743719858103756E-2</v>
      </c>
    </row>
    <row r="30" spans="1:19" x14ac:dyDescent="0.25">
      <c r="A30" s="139">
        <v>2007</v>
      </c>
      <c r="B30" s="139">
        <v>9</v>
      </c>
      <c r="C30" s="150" t="s">
        <v>17</v>
      </c>
      <c r="D30" s="131">
        <f>PAPI_BV!D37</f>
        <v>1055.3377100000009</v>
      </c>
      <c r="E30" s="131">
        <f>PAPI_BV!E37</f>
        <v>1246.112954000004</v>
      </c>
      <c r="F30" s="131">
        <f>PAPI_BV!F37</f>
        <v>35002.173949999953</v>
      </c>
      <c r="G30" s="131">
        <f>D30+E30+F30</f>
        <v>37303.624613999957</v>
      </c>
      <c r="H30" s="131">
        <f>PAPI_BV!H37</f>
        <v>0</v>
      </c>
      <c r="I30" s="131">
        <f>PAPI_BV!I37</f>
        <v>707.31747299999995</v>
      </c>
      <c r="J30" s="131">
        <f>PAPI_BV!J37</f>
        <v>996.06954500000177</v>
      </c>
      <c r="K30" s="131">
        <f>PAPI_BV!K37</f>
        <v>731.5953080000005</v>
      </c>
      <c r="L30" s="131">
        <f>PAPI_BV!L37</f>
        <v>10410.112928000121</v>
      </c>
      <c r="M30" s="131">
        <f>PAPI_BV!M37</f>
        <v>24458.52935999995</v>
      </c>
      <c r="N30" s="131">
        <f>H30+I30+J30+K30+L30+M30</f>
        <v>37303.624614000073</v>
      </c>
      <c r="O30" s="131">
        <f t="shared" si="1"/>
        <v>12845.095254000124</v>
      </c>
      <c r="P30" s="136">
        <f t="shared" si="2"/>
        <v>0.34433906589279134</v>
      </c>
      <c r="Q30" s="131"/>
      <c r="R30" s="137"/>
      <c r="S30" s="137"/>
    </row>
    <row r="31" spans="1:19" x14ac:dyDescent="0.25">
      <c r="A31" s="148">
        <v>2012</v>
      </c>
      <c r="B31" s="139">
        <v>9</v>
      </c>
      <c r="C31" s="150" t="s">
        <v>17</v>
      </c>
      <c r="D31" s="131">
        <f>PAPI_BV!D28</f>
        <v>1080.2090104919009</v>
      </c>
      <c r="E31" s="131">
        <f>PAPI_BV!E28</f>
        <v>1295.6751568214991</v>
      </c>
      <c r="F31" s="131">
        <f>PAPI_BV!F28</f>
        <v>38441.447101061611</v>
      </c>
      <c r="G31" s="131">
        <f t="shared" ref="G31:G33" si="15">D31+E31+F31</f>
        <v>40817.331268375012</v>
      </c>
      <c r="H31" s="131">
        <f>PAPI_BV!H28</f>
        <v>0</v>
      </c>
      <c r="I31" s="131">
        <f>PAPI_BV!I28</f>
        <v>790.36407155789982</v>
      </c>
      <c r="J31" s="131">
        <f>PAPI_BV!J28</f>
        <v>997.86225418830008</v>
      </c>
      <c r="K31" s="131">
        <f>PAPI_BV!K28</f>
        <v>774.81238307570038</v>
      </c>
      <c r="L31" s="131">
        <f>PAPI_BV!L28</f>
        <v>11537.364071977179</v>
      </c>
      <c r="M31" s="131">
        <f>PAPI_BV!M28</f>
        <v>26716.928487575969</v>
      </c>
      <c r="N31" s="131">
        <f t="shared" ref="N31:N33" si="16">H31+I31+J31+K31+L31+M31</f>
        <v>40817.331268375048</v>
      </c>
      <c r="O31" s="131">
        <f t="shared" si="1"/>
        <v>14100.402780799079</v>
      </c>
      <c r="P31" s="136">
        <f t="shared" si="2"/>
        <v>0.34545136447281555</v>
      </c>
      <c r="Q31" s="131">
        <f>O31-O30</f>
        <v>1255.3075267989552</v>
      </c>
      <c r="R31" s="137">
        <f>(O31/O30)-1</f>
        <v>9.7726603187939576E-2</v>
      </c>
      <c r="S31" s="137">
        <f>(N31/N30)-1</f>
        <v>9.4192097704529187E-2</v>
      </c>
    </row>
    <row r="32" spans="1:19" x14ac:dyDescent="0.25">
      <c r="A32" s="148">
        <v>2017</v>
      </c>
      <c r="B32" s="139">
        <v>9</v>
      </c>
      <c r="C32" s="150" t="s">
        <v>17</v>
      </c>
      <c r="D32" s="131">
        <f>PAPI_BV!D19</f>
        <v>1135.3958864172009</v>
      </c>
      <c r="E32" s="131">
        <f>PAPI_BV!E19</f>
        <v>1514.6464551151039</v>
      </c>
      <c r="F32" s="131">
        <f>PAPI_BV!F19</f>
        <v>38507.060810441362</v>
      </c>
      <c r="G32" s="131">
        <f t="shared" si="15"/>
        <v>41157.103151973664</v>
      </c>
      <c r="H32" s="131">
        <f>PAPI_BV!H19</f>
        <v>0</v>
      </c>
      <c r="I32" s="131">
        <f>PAPI_BV!I19</f>
        <v>788.06958973299925</v>
      </c>
      <c r="J32" s="131">
        <f>PAPI_BV!J19</f>
        <v>1235.0035523101019</v>
      </c>
      <c r="K32" s="131">
        <f>PAPI_BV!K19</f>
        <v>798.76131664429977</v>
      </c>
      <c r="L32" s="131">
        <f>PAPI_BV!L19</f>
        <v>11519.79122381699</v>
      </c>
      <c r="M32" s="131">
        <f>PAPI_BV!M19</f>
        <v>26815.477469469541</v>
      </c>
      <c r="N32" s="131">
        <f t="shared" si="16"/>
        <v>41157.103151973934</v>
      </c>
      <c r="O32" s="131">
        <f t="shared" si="1"/>
        <v>14341.625682504393</v>
      </c>
      <c r="P32" s="136">
        <f t="shared" si="2"/>
        <v>0.34846052282998335</v>
      </c>
      <c r="Q32" s="131">
        <f>O32-O31</f>
        <v>241.22290170531414</v>
      </c>
      <c r="R32" s="137">
        <f>(O32/O31)-1</f>
        <v>1.7107518519527298E-2</v>
      </c>
      <c r="S32" s="137">
        <f>(N32/N31)-1</f>
        <v>8.3242062388859672E-3</v>
      </c>
    </row>
    <row r="33" spans="1:19" x14ac:dyDescent="0.25">
      <c r="A33" s="149">
        <v>2022</v>
      </c>
      <c r="B33" s="139">
        <v>9</v>
      </c>
      <c r="C33" s="150" t="s">
        <v>17</v>
      </c>
      <c r="D33" s="131">
        <f>PAPI_BV!D10</f>
        <v>1116.300669842798</v>
      </c>
      <c r="E33" s="131">
        <f>PAPI_BV!E10</f>
        <v>1570.884571727197</v>
      </c>
      <c r="F33" s="131">
        <f>PAPI_BV!F10</f>
        <v>39283.993329984922</v>
      </c>
      <c r="G33" s="131">
        <f t="shared" si="15"/>
        <v>41971.178571554919</v>
      </c>
      <c r="H33" s="131">
        <f>PAPI_BV!H10</f>
        <v>0</v>
      </c>
      <c r="I33" s="131">
        <f>PAPI_BV!I10</f>
        <v>789.7698832686998</v>
      </c>
      <c r="J33" s="131">
        <f>PAPI_BV!J10</f>
        <v>1283.394335037098</v>
      </c>
      <c r="K33" s="131">
        <f>PAPI_BV!K10</f>
        <v>788.97079316169936</v>
      </c>
      <c r="L33" s="131">
        <f>PAPI_BV!L10</f>
        <v>11769.539599759901</v>
      </c>
      <c r="M33" s="131">
        <f>PAPI_BV!M10</f>
        <v>27339.50396032738</v>
      </c>
      <c r="N33" s="131">
        <f t="shared" si="16"/>
        <v>41971.178571554774</v>
      </c>
      <c r="O33" s="131">
        <f t="shared" si="1"/>
        <v>14631.674611227394</v>
      </c>
      <c r="P33" s="136">
        <f t="shared" si="2"/>
        <v>0.34861243141606113</v>
      </c>
      <c r="Q33" s="131">
        <f>O33-O32</f>
        <v>290.04892872300115</v>
      </c>
      <c r="R33" s="137">
        <f>(O33/O32)-1</f>
        <v>2.0224271302578867E-2</v>
      </c>
      <c r="S33" s="137">
        <f>(N33/N32)-1</f>
        <v>1.9779706471926284E-2</v>
      </c>
    </row>
    <row r="34" spans="1:19" x14ac:dyDescent="0.25">
      <c r="A34" s="139">
        <v>2007</v>
      </c>
      <c r="B34" s="139">
        <v>10</v>
      </c>
      <c r="C34" s="150" t="s">
        <v>18</v>
      </c>
      <c r="D34" s="131">
        <f>PAPI_BV!D38</f>
        <v>0</v>
      </c>
      <c r="E34" s="131">
        <f>PAPI_BV!E38</f>
        <v>0</v>
      </c>
      <c r="F34" s="131">
        <f>PAPI_BV!F38</f>
        <v>857.63056100000301</v>
      </c>
      <c r="G34" s="131">
        <f>D34+E34+F34</f>
        <v>857.63056100000301</v>
      </c>
      <c r="H34" s="131">
        <f>PAPI_BV!H38</f>
        <v>0</v>
      </c>
      <c r="I34" s="131">
        <f>PAPI_BV!I38</f>
        <v>0</v>
      </c>
      <c r="J34" s="131">
        <f>PAPI_BV!J38</f>
        <v>0</v>
      </c>
      <c r="K34" s="131">
        <f>PAPI_BV!K38</f>
        <v>0</v>
      </c>
      <c r="L34" s="131">
        <f>PAPI_BV!L38</f>
        <v>167.72333399999999</v>
      </c>
      <c r="M34" s="131">
        <f>PAPI_BV!M38</f>
        <v>689.90722700000276</v>
      </c>
      <c r="N34" s="131">
        <f>H34+I34+J34+K34+L34+M34</f>
        <v>857.63056100000279</v>
      </c>
      <c r="O34" s="131">
        <f t="shared" si="1"/>
        <v>167.72333400000002</v>
      </c>
      <c r="P34" s="136">
        <f t="shared" si="2"/>
        <v>0.19556594835477123</v>
      </c>
      <c r="Q34" s="131"/>
      <c r="R34" s="137"/>
      <c r="S34" s="137"/>
    </row>
    <row r="35" spans="1:19" x14ac:dyDescent="0.25">
      <c r="A35" s="139">
        <v>2012</v>
      </c>
      <c r="B35" s="139">
        <v>10</v>
      </c>
      <c r="C35" s="150" t="s">
        <v>18</v>
      </c>
      <c r="D35" s="131">
        <f>PAPI_BV!D29</f>
        <v>0</v>
      </c>
      <c r="E35" s="131">
        <f>PAPI_BV!E29</f>
        <v>0</v>
      </c>
      <c r="F35" s="131">
        <f>PAPI_BV!F29</f>
        <v>943.64161848209505</v>
      </c>
      <c r="G35" s="131">
        <f t="shared" ref="G35:G37" si="17">D35+E35+F35</f>
        <v>943.64161848209505</v>
      </c>
      <c r="H35" s="131">
        <f>PAPI_BV!H29</f>
        <v>0</v>
      </c>
      <c r="I35" s="131">
        <f>PAPI_BV!I29</f>
        <v>0</v>
      </c>
      <c r="J35" s="131">
        <f>PAPI_BV!J29</f>
        <v>0</v>
      </c>
      <c r="K35" s="131">
        <f>PAPI_BV!K29</f>
        <v>0</v>
      </c>
      <c r="L35" s="131">
        <f>PAPI_BV!L29</f>
        <v>190.1461918602001</v>
      </c>
      <c r="M35" s="131">
        <f>PAPI_BV!M29</f>
        <v>753.49542662189594</v>
      </c>
      <c r="N35" s="131">
        <f t="shared" ref="N35:N37" si="18">H35+I35+J35+K35+L35+M35</f>
        <v>943.64161848209608</v>
      </c>
      <c r="O35" s="131">
        <f t="shared" si="1"/>
        <v>190.14619186020013</v>
      </c>
      <c r="P35" s="136">
        <f t="shared" si="2"/>
        <v>0.2015025494170781</v>
      </c>
      <c r="Q35" s="131">
        <f>O35-O34</f>
        <v>22.422857860200111</v>
      </c>
      <c r="R35" s="137">
        <f>(O35/O34)-1</f>
        <v>0.1336895548487016</v>
      </c>
      <c r="S35" s="137">
        <f>(N35/N34)-1</f>
        <v>0.10028917041132934</v>
      </c>
    </row>
    <row r="36" spans="1:19" x14ac:dyDescent="0.25">
      <c r="A36" s="139">
        <v>2017</v>
      </c>
      <c r="B36" s="139">
        <v>10</v>
      </c>
      <c r="C36" s="150" t="s">
        <v>18</v>
      </c>
      <c r="D36" s="131">
        <f>PAPI_BV!D20</f>
        <v>0</v>
      </c>
      <c r="E36" s="131">
        <f>PAPI_BV!E20</f>
        <v>0</v>
      </c>
      <c r="F36" s="131">
        <f>PAPI_BV!F20</f>
        <v>941.71858403750059</v>
      </c>
      <c r="G36" s="131">
        <f t="shared" si="17"/>
        <v>941.71858403750059</v>
      </c>
      <c r="H36" s="131">
        <f>PAPI_BV!H20</f>
        <v>0</v>
      </c>
      <c r="I36" s="131">
        <f>PAPI_BV!I20</f>
        <v>0</v>
      </c>
      <c r="J36" s="131">
        <f>PAPI_BV!J20</f>
        <v>0</v>
      </c>
      <c r="K36" s="131">
        <f>PAPI_BV!K20</f>
        <v>0</v>
      </c>
      <c r="L36" s="131">
        <f>PAPI_BV!L20</f>
        <v>203.52264201200001</v>
      </c>
      <c r="M36" s="131">
        <f>PAPI_BV!M20</f>
        <v>738.19594202550184</v>
      </c>
      <c r="N36" s="131">
        <f t="shared" si="18"/>
        <v>941.71858403750184</v>
      </c>
      <c r="O36" s="131">
        <f t="shared" si="1"/>
        <v>203.52264201200001</v>
      </c>
      <c r="P36" s="136">
        <f t="shared" si="2"/>
        <v>0.21611832394707756</v>
      </c>
      <c r="Q36" s="131">
        <f>O36-O35</f>
        <v>13.376450151799872</v>
      </c>
      <c r="R36" s="137">
        <f>(O36/O35)-1</f>
        <v>7.0348241113524557E-2</v>
      </c>
      <c r="S36" s="137">
        <f>(N36/N35)-1</f>
        <v>-2.0378864252379447E-3</v>
      </c>
    </row>
    <row r="37" spans="1:19" x14ac:dyDescent="0.25">
      <c r="A37" s="139">
        <v>2022</v>
      </c>
      <c r="B37" s="139">
        <v>10</v>
      </c>
      <c r="C37" s="150" t="s">
        <v>18</v>
      </c>
      <c r="D37" s="131">
        <f>PAPI_BV!D11</f>
        <v>0</v>
      </c>
      <c r="E37" s="131">
        <f>PAPI_BV!E11</f>
        <v>0</v>
      </c>
      <c r="F37" s="131">
        <f>PAPI_BV!F11</f>
        <v>870.00000002900015</v>
      </c>
      <c r="G37" s="131">
        <f t="shared" si="17"/>
        <v>870.00000002900015</v>
      </c>
      <c r="H37" s="131">
        <f>PAPI_BV!H11</f>
        <v>0</v>
      </c>
      <c r="I37" s="131">
        <f>PAPI_BV!I11</f>
        <v>0</v>
      </c>
      <c r="J37" s="131">
        <f>PAPI_BV!J11</f>
        <v>0</v>
      </c>
      <c r="K37" s="131">
        <f>PAPI_BV!K11</f>
        <v>0</v>
      </c>
      <c r="L37" s="131">
        <f>PAPI_BV!L11</f>
        <v>185.15412381089979</v>
      </c>
      <c r="M37" s="131">
        <f>PAPI_BV!M11</f>
        <v>684.84587621810192</v>
      </c>
      <c r="N37" s="131">
        <f t="shared" si="18"/>
        <v>870.00000002900174</v>
      </c>
      <c r="O37" s="131">
        <f t="shared" si="1"/>
        <v>185.15412381089982</v>
      </c>
      <c r="P37" s="136">
        <f t="shared" si="2"/>
        <v>0.21282083195945706</v>
      </c>
      <c r="Q37" s="131">
        <f>O37-O36</f>
        <v>-18.368518201100187</v>
      </c>
      <c r="R37" s="137">
        <f>(O37/O36)-1</f>
        <v>-9.0252946893334629E-2</v>
      </c>
      <c r="S37" s="137">
        <f>(N37/N36)-1</f>
        <v>-7.6157129342202756E-2</v>
      </c>
    </row>
    <row r="38" spans="1:19" x14ac:dyDescent="0.25">
      <c r="A38" s="79"/>
      <c r="B38" s="80"/>
      <c r="C38" s="98"/>
      <c r="D38" s="76"/>
      <c r="E38" s="76"/>
      <c r="F38" s="76"/>
      <c r="G38" s="76"/>
      <c r="H38" s="76"/>
      <c r="I38" s="76"/>
      <c r="J38" s="76"/>
      <c r="K38" s="76"/>
      <c r="L38" s="76"/>
      <c r="M38" s="76"/>
      <c r="N38" s="76"/>
      <c r="O38" s="76"/>
      <c r="P38" s="81"/>
      <c r="Q38" s="76"/>
      <c r="R38" s="78"/>
      <c r="S38" s="74"/>
    </row>
    <row r="40" spans="1:19" x14ac:dyDescent="0.25">
      <c r="A40" s="138" t="s">
        <v>29</v>
      </c>
      <c r="B40" s="139">
        <v>2007</v>
      </c>
      <c r="C40" s="140">
        <v>2012</v>
      </c>
      <c r="D40" s="139">
        <v>2017</v>
      </c>
      <c r="E40" s="139">
        <v>2022</v>
      </c>
      <c r="H40" s="74"/>
      <c r="I40" s="76"/>
      <c r="J40" s="74"/>
    </row>
    <row r="41" spans="1:19" x14ac:dyDescent="0.25">
      <c r="A41" s="139" t="s">
        <v>3</v>
      </c>
      <c r="B41" s="141">
        <f>N2</f>
        <v>177203.04065999991</v>
      </c>
      <c r="C41" s="141">
        <f>N3</f>
        <v>185696.17162110511</v>
      </c>
      <c r="D41" s="141">
        <f>N4</f>
        <v>192814.04940634267</v>
      </c>
      <c r="E41" s="141">
        <f>N5</f>
        <v>197739.26149763112</v>
      </c>
      <c r="H41" s="74"/>
      <c r="I41" s="76"/>
      <c r="J41" s="74"/>
    </row>
    <row r="42" spans="1:19" x14ac:dyDescent="0.25">
      <c r="A42" s="139" t="s">
        <v>24</v>
      </c>
      <c r="B42" s="141">
        <f>O2</f>
        <v>53523.100162000017</v>
      </c>
      <c r="C42" s="141">
        <f>O3</f>
        <v>54304.658406392118</v>
      </c>
      <c r="D42" s="141">
        <f>O4</f>
        <v>54845.165356661979</v>
      </c>
      <c r="E42" s="141">
        <f>O5</f>
        <v>54744.192985809408</v>
      </c>
      <c r="H42" s="74"/>
      <c r="I42" s="76"/>
      <c r="J42" s="74"/>
    </row>
    <row r="43" spans="1:19" x14ac:dyDescent="0.25">
      <c r="A43" s="139" t="s">
        <v>25</v>
      </c>
      <c r="B43" s="143">
        <f>B42/B41</f>
        <v>0.30204391506291911</v>
      </c>
      <c r="C43" s="143">
        <f t="shared" ref="C43:E43" si="19">C42/C41</f>
        <v>0.29243822278251091</v>
      </c>
      <c r="D43" s="143">
        <f t="shared" si="19"/>
        <v>0.28444589761755107</v>
      </c>
      <c r="E43" s="143">
        <f t="shared" si="19"/>
        <v>0.27685039668495592</v>
      </c>
      <c r="H43" s="74"/>
      <c r="I43" s="76"/>
      <c r="J43" s="74"/>
    </row>
    <row r="44" spans="1:19" x14ac:dyDescent="0.25">
      <c r="A44" s="101"/>
      <c r="B44" s="102"/>
      <c r="C44" s="103"/>
      <c r="D44" s="102"/>
      <c r="E44" s="102"/>
      <c r="H44" s="74"/>
      <c r="I44" s="74"/>
      <c r="J44" s="74"/>
    </row>
    <row r="45" spans="1:19" x14ac:dyDescent="0.25">
      <c r="A45" s="138" t="s">
        <v>30</v>
      </c>
      <c r="B45" s="139">
        <v>2007</v>
      </c>
      <c r="C45" s="140">
        <v>2012</v>
      </c>
      <c r="D45" s="139">
        <v>2017</v>
      </c>
      <c r="E45" s="139">
        <v>2022</v>
      </c>
    </row>
    <row r="46" spans="1:19" x14ac:dyDescent="0.25">
      <c r="A46" s="139" t="s">
        <v>3</v>
      </c>
      <c r="B46" s="141">
        <f>N6</f>
        <v>57802.554530999987</v>
      </c>
      <c r="C46" s="141">
        <f>N7</f>
        <v>63459.982246380903</v>
      </c>
      <c r="D46" s="141">
        <f>N8</f>
        <v>68319.490939991287</v>
      </c>
      <c r="E46" s="141">
        <f>N9</f>
        <v>70907.183702835406</v>
      </c>
    </row>
    <row r="47" spans="1:19" x14ac:dyDescent="0.25">
      <c r="A47" s="139" t="s">
        <v>24</v>
      </c>
      <c r="B47" s="141">
        <f>O6</f>
        <v>30317.339192999989</v>
      </c>
      <c r="C47" s="141">
        <f>O7</f>
        <v>33395.634967556703</v>
      </c>
      <c r="D47" s="141">
        <f>O8</f>
        <v>35221.902264029493</v>
      </c>
      <c r="E47" s="141">
        <f>O9</f>
        <v>36180.852128487706</v>
      </c>
    </row>
    <row r="48" spans="1:19" x14ac:dyDescent="0.25">
      <c r="A48" s="139" t="s">
        <v>25</v>
      </c>
      <c r="B48" s="143">
        <f>B47/B46</f>
        <v>0.52449825858025967</v>
      </c>
      <c r="C48" s="143">
        <f t="shared" ref="C48:E48" si="20">C47/C46</f>
        <v>0.5262471527000977</v>
      </c>
      <c r="D48" s="143">
        <f t="shared" si="20"/>
        <v>0.51554690732351616</v>
      </c>
      <c r="E48" s="143">
        <f t="shared" si="20"/>
        <v>0.51025651054084842</v>
      </c>
    </row>
    <row r="49" spans="1:14" x14ac:dyDescent="0.25">
      <c r="A49" s="101"/>
      <c r="B49" s="102"/>
      <c r="C49" s="103"/>
      <c r="D49" s="102"/>
      <c r="E49" s="102"/>
    </row>
    <row r="50" spans="1:14" x14ac:dyDescent="0.25">
      <c r="A50" s="126" t="s">
        <v>31</v>
      </c>
      <c r="B50" s="108">
        <v>2007</v>
      </c>
      <c r="C50" s="127">
        <v>2012</v>
      </c>
      <c r="D50" s="108">
        <v>2017</v>
      </c>
      <c r="E50" s="108">
        <v>2022</v>
      </c>
    </row>
    <row r="51" spans="1:14" x14ac:dyDescent="0.25">
      <c r="A51" s="108" t="s">
        <v>3</v>
      </c>
      <c r="B51" s="128">
        <f>G10</f>
        <v>266119.98458800011</v>
      </c>
      <c r="C51" s="129">
        <f>G11</f>
        <v>281759.0311994435</v>
      </c>
      <c r="D51" s="128">
        <f>G12</f>
        <v>301187.7131034343</v>
      </c>
      <c r="E51" s="128">
        <f>G13</f>
        <v>304463.59344249713</v>
      </c>
    </row>
    <row r="52" spans="1:14" x14ac:dyDescent="0.25">
      <c r="A52" s="108" t="s">
        <v>24</v>
      </c>
      <c r="B52" s="128">
        <f>O10</f>
        <v>140684.21051300023</v>
      </c>
      <c r="C52" s="129">
        <f>O11</f>
        <v>146991.68128579849</v>
      </c>
      <c r="D52" s="128">
        <f>O12</f>
        <v>156824.48499534291</v>
      </c>
      <c r="E52" s="128">
        <f>O13</f>
        <v>157285.23761624383</v>
      </c>
    </row>
    <row r="53" spans="1:14" x14ac:dyDescent="0.25">
      <c r="A53" s="108" t="s">
        <v>25</v>
      </c>
      <c r="B53" s="130">
        <f>B52/B51</f>
        <v>0.52864955155774485</v>
      </c>
      <c r="C53" s="130">
        <f t="shared" ref="C53:E53" si="21">C52/C51</f>
        <v>0.52169288295767258</v>
      </c>
      <c r="D53" s="130">
        <f t="shared" si="21"/>
        <v>0.52068686129133701</v>
      </c>
      <c r="E53" s="130">
        <f t="shared" si="21"/>
        <v>0.51659784947637655</v>
      </c>
    </row>
    <row r="54" spans="1:14" x14ac:dyDescent="0.25">
      <c r="A54" s="101"/>
      <c r="B54" s="102"/>
      <c r="C54" s="103"/>
      <c r="D54" s="102"/>
      <c r="E54" s="102"/>
    </row>
    <row r="55" spans="1:14" x14ac:dyDescent="0.25">
      <c r="A55" s="138" t="s">
        <v>32</v>
      </c>
      <c r="B55" s="139">
        <v>2007</v>
      </c>
      <c r="C55" s="140">
        <v>2012</v>
      </c>
      <c r="D55" s="139">
        <v>2017</v>
      </c>
      <c r="E55" s="139">
        <v>2022</v>
      </c>
    </row>
    <row r="56" spans="1:14" x14ac:dyDescent="0.25">
      <c r="A56" s="139" t="s">
        <v>3</v>
      </c>
      <c r="B56" s="141">
        <f>N14</f>
        <v>118244.52220400011</v>
      </c>
      <c r="C56" s="141">
        <f>N15</f>
        <v>129312.50116054455</v>
      </c>
      <c r="D56" s="141">
        <f>N16</f>
        <v>132023.41727431474</v>
      </c>
      <c r="E56" s="141">
        <f>N17</f>
        <v>135861.71331325974</v>
      </c>
    </row>
    <row r="57" spans="1:14" x14ac:dyDescent="0.25">
      <c r="A57" s="139" t="s">
        <v>24</v>
      </c>
      <c r="B57" s="141">
        <f>O14</f>
        <v>52181.228829000014</v>
      </c>
      <c r="C57" s="141">
        <f>O15</f>
        <v>55620.315937287989</v>
      </c>
      <c r="D57" s="141">
        <f>O16</f>
        <v>56897.111456583996</v>
      </c>
      <c r="E57" s="141">
        <f>O17</f>
        <v>57936.714445642239</v>
      </c>
    </row>
    <row r="58" spans="1:14" x14ac:dyDescent="0.25">
      <c r="A58" s="139" t="s">
        <v>25</v>
      </c>
      <c r="B58" s="143">
        <f>B57/B56</f>
        <v>0.4412993334183794</v>
      </c>
      <c r="C58" s="143">
        <f t="shared" ref="C58:E58" si="22">C57/C56</f>
        <v>0.43012327066687889</v>
      </c>
      <c r="D58" s="143">
        <f t="shared" si="22"/>
        <v>0.43096226890086248</v>
      </c>
      <c r="E58" s="143">
        <f t="shared" si="22"/>
        <v>0.42643886222791932</v>
      </c>
    </row>
    <row r="59" spans="1:14" x14ac:dyDescent="0.25">
      <c r="A59" s="101"/>
      <c r="B59" s="102"/>
      <c r="C59" s="103"/>
      <c r="D59" s="102"/>
      <c r="E59" s="102"/>
    </row>
    <row r="60" spans="1:14" x14ac:dyDescent="0.25">
      <c r="A60" s="138" t="s">
        <v>33</v>
      </c>
      <c r="B60" s="139">
        <v>2007</v>
      </c>
      <c r="C60" s="140">
        <v>2012</v>
      </c>
      <c r="D60" s="139">
        <v>2017</v>
      </c>
      <c r="E60" s="139">
        <v>2022</v>
      </c>
    </row>
    <row r="61" spans="1:14" x14ac:dyDescent="0.25">
      <c r="A61" s="139" t="s">
        <v>3</v>
      </c>
      <c r="B61" s="141">
        <f>N18</f>
        <v>14569.910900000024</v>
      </c>
      <c r="C61" s="142">
        <f>N19</f>
        <v>14128.605294978588</v>
      </c>
      <c r="D61" s="141">
        <f>N20</f>
        <v>14216.348831604493</v>
      </c>
      <c r="E61" s="141">
        <f>N21</f>
        <v>13734.659340656</v>
      </c>
    </row>
    <row r="62" spans="1:14" x14ac:dyDescent="0.25">
      <c r="A62" s="139" t="s">
        <v>24</v>
      </c>
      <c r="B62" s="141">
        <f>O18</f>
        <v>4455.9456560000035</v>
      </c>
      <c r="C62" s="142">
        <f>O19</f>
        <v>4399.8919874303992</v>
      </c>
      <c r="D62" s="141">
        <f>O20</f>
        <v>4444.4909865151021</v>
      </c>
      <c r="E62" s="141">
        <f>O21</f>
        <v>4188.3572386635024</v>
      </c>
    </row>
    <row r="63" spans="1:14" x14ac:dyDescent="0.25">
      <c r="A63" s="139" t="s">
        <v>25</v>
      </c>
      <c r="B63" s="143">
        <f>B62/B61</f>
        <v>0.30583204568533057</v>
      </c>
      <c r="C63" s="143">
        <f t="shared" ref="C63:E63" si="23">C62/C61</f>
        <v>0.31141729106086313</v>
      </c>
      <c r="D63" s="143">
        <f t="shared" si="23"/>
        <v>0.31263238115222064</v>
      </c>
      <c r="E63" s="143">
        <f t="shared" si="23"/>
        <v>0.3049480249040859</v>
      </c>
    </row>
    <row r="64" spans="1:14" x14ac:dyDescent="0.25">
      <c r="A64" s="101"/>
      <c r="B64" s="102"/>
      <c r="C64" s="103"/>
      <c r="D64" s="102"/>
      <c r="E64" s="102"/>
      <c r="I64" s="74"/>
      <c r="J64" s="74"/>
      <c r="K64" s="74"/>
      <c r="L64" s="74"/>
      <c r="M64" s="74"/>
      <c r="N64" s="74"/>
    </row>
    <row r="65" spans="1:14" x14ac:dyDescent="0.25">
      <c r="A65" s="138" t="s">
        <v>34</v>
      </c>
      <c r="B65" s="139">
        <v>2007</v>
      </c>
      <c r="C65" s="140">
        <v>2012</v>
      </c>
      <c r="D65" s="139">
        <v>2017</v>
      </c>
      <c r="E65" s="139">
        <v>2022</v>
      </c>
      <c r="I65" s="74"/>
      <c r="J65" s="76"/>
      <c r="K65" s="74"/>
      <c r="L65" s="74"/>
      <c r="M65" s="81"/>
      <c r="N65" s="74"/>
    </row>
    <row r="66" spans="1:14" x14ac:dyDescent="0.25">
      <c r="A66" s="139" t="s">
        <v>3</v>
      </c>
      <c r="B66" s="141">
        <f>G22</f>
        <v>92982.157158000016</v>
      </c>
      <c r="C66" s="141">
        <f>G23</f>
        <v>96929.025080809515</v>
      </c>
      <c r="D66" s="141">
        <f>G24</f>
        <v>100216.93030326758</v>
      </c>
      <c r="E66" s="141">
        <f>G25</f>
        <v>101295.79013177339</v>
      </c>
      <c r="I66" s="74"/>
      <c r="J66" s="76"/>
      <c r="K66" s="74"/>
      <c r="L66" s="74"/>
      <c r="M66" s="81"/>
      <c r="N66" s="74"/>
    </row>
    <row r="67" spans="1:14" x14ac:dyDescent="0.25">
      <c r="A67" s="139" t="s">
        <v>24</v>
      </c>
      <c r="B67" s="141">
        <f>O22</f>
        <v>22320.376630999934</v>
      </c>
      <c r="C67" s="141">
        <f>O23</f>
        <v>23121.347709924434</v>
      </c>
      <c r="D67" s="141">
        <f>O24</f>
        <v>23396.714470451523</v>
      </c>
      <c r="E67" s="141">
        <f>O25</f>
        <v>23250.380848010216</v>
      </c>
      <c r="I67" s="74"/>
      <c r="J67" s="76"/>
      <c r="K67" s="74"/>
      <c r="L67" s="74"/>
      <c r="M67" s="81"/>
      <c r="N67" s="74"/>
    </row>
    <row r="68" spans="1:14" x14ac:dyDescent="0.25">
      <c r="A68" s="139" t="s">
        <v>25</v>
      </c>
      <c r="B68" s="143">
        <f>B67/B66</f>
        <v>0.24005010545272695</v>
      </c>
      <c r="C68" s="143">
        <f t="shared" ref="C68:E68" si="24">C67/C66</f>
        <v>0.23853894837638381</v>
      </c>
      <c r="D68" s="143">
        <f t="shared" si="24"/>
        <v>0.23346069770497321</v>
      </c>
      <c r="E68" s="143">
        <f t="shared" si="24"/>
        <v>0.22952958674555304</v>
      </c>
      <c r="I68" s="74"/>
      <c r="J68" s="76"/>
      <c r="K68" s="74"/>
      <c r="L68" s="74"/>
      <c r="M68" s="81"/>
      <c r="N68" s="74"/>
    </row>
    <row r="69" spans="1:14" x14ac:dyDescent="0.25">
      <c r="A69" s="101"/>
      <c r="B69" s="102"/>
      <c r="C69" s="103"/>
      <c r="D69" s="102"/>
      <c r="E69" s="102"/>
      <c r="I69" s="74"/>
      <c r="J69" s="74"/>
      <c r="K69" s="74"/>
      <c r="L69" s="74"/>
      <c r="M69" s="74"/>
      <c r="N69" s="74"/>
    </row>
    <row r="70" spans="1:14" x14ac:dyDescent="0.25">
      <c r="A70" s="138" t="s">
        <v>35</v>
      </c>
      <c r="B70" s="139">
        <v>2007</v>
      </c>
      <c r="C70" s="140">
        <v>2012</v>
      </c>
      <c r="D70" s="139">
        <v>2017</v>
      </c>
      <c r="E70" s="139">
        <v>2022</v>
      </c>
    </row>
    <row r="71" spans="1:14" x14ac:dyDescent="0.25">
      <c r="A71" s="139" t="s">
        <v>3</v>
      </c>
      <c r="B71" s="141">
        <f>G26</f>
        <v>14775.60149399998</v>
      </c>
      <c r="C71" s="142">
        <f>G27</f>
        <v>15284.6266666638</v>
      </c>
      <c r="D71" s="141">
        <f>G28</f>
        <v>15368.089552215361</v>
      </c>
      <c r="E71" s="141">
        <f>G29</f>
        <v>15809.82561305849</v>
      </c>
    </row>
    <row r="72" spans="1:14" x14ac:dyDescent="0.25">
      <c r="A72" s="139" t="s">
        <v>24</v>
      </c>
      <c r="B72" s="141">
        <f>O26</f>
        <v>1018.6048530000007</v>
      </c>
      <c r="C72" s="142">
        <f>O27</f>
        <v>946.31855727160109</v>
      </c>
      <c r="D72" s="141">
        <f>O28</f>
        <v>941.77618780650118</v>
      </c>
      <c r="E72" s="141">
        <f>O29</f>
        <v>982.08714386300016</v>
      </c>
    </row>
    <row r="73" spans="1:14" x14ac:dyDescent="0.25">
      <c r="A73" s="139" t="s">
        <v>25</v>
      </c>
      <c r="B73" s="143">
        <f>B72/B71</f>
        <v>6.8938300306328096E-2</v>
      </c>
      <c r="C73" s="143">
        <f t="shared" ref="C73:E73" si="25">C72/C71</f>
        <v>6.1913095943360426E-2</v>
      </c>
      <c r="D73" s="143">
        <f t="shared" si="25"/>
        <v>6.1281279277211206E-2</v>
      </c>
      <c r="E73" s="143">
        <f t="shared" si="25"/>
        <v>6.2118784096633087E-2</v>
      </c>
    </row>
    <row r="74" spans="1:14" x14ac:dyDescent="0.25">
      <c r="A74" s="101"/>
      <c r="B74" s="102"/>
      <c r="C74" s="103"/>
      <c r="D74" s="102"/>
      <c r="E74" s="102"/>
    </row>
    <row r="75" spans="1:14" x14ac:dyDescent="0.25">
      <c r="A75" s="138" t="s">
        <v>36</v>
      </c>
      <c r="B75" s="139">
        <v>2007</v>
      </c>
      <c r="C75" s="140">
        <v>2012</v>
      </c>
      <c r="D75" s="139">
        <v>2017</v>
      </c>
      <c r="E75" s="139">
        <v>2022</v>
      </c>
    </row>
    <row r="76" spans="1:14" x14ac:dyDescent="0.25">
      <c r="A76" s="139" t="s">
        <v>3</v>
      </c>
      <c r="B76" s="141">
        <f>N30</f>
        <v>37303.624614000073</v>
      </c>
      <c r="C76" s="142">
        <f>N31</f>
        <v>40817.331268375048</v>
      </c>
      <c r="D76" s="141">
        <f>N32</f>
        <v>41157.103151973934</v>
      </c>
      <c r="E76" s="141">
        <f>N33</f>
        <v>41971.178571554774</v>
      </c>
    </row>
    <row r="77" spans="1:14" x14ac:dyDescent="0.25">
      <c r="A77" s="139" t="s">
        <v>24</v>
      </c>
      <c r="B77" s="141">
        <f>O30</f>
        <v>12845.095254000124</v>
      </c>
      <c r="C77" s="142">
        <f>O31</f>
        <v>14100.402780799079</v>
      </c>
      <c r="D77" s="141">
        <f>O32</f>
        <v>14341.625682504393</v>
      </c>
      <c r="E77" s="141">
        <f>O33</f>
        <v>14631.674611227394</v>
      </c>
    </row>
    <row r="78" spans="1:14" x14ac:dyDescent="0.25">
      <c r="A78" s="139" t="s">
        <v>25</v>
      </c>
      <c r="B78" s="143">
        <f>B77/B76</f>
        <v>0.34433906589279134</v>
      </c>
      <c r="C78" s="143">
        <f t="shared" ref="C78:E78" si="26">C77/C76</f>
        <v>0.34545136447281555</v>
      </c>
      <c r="D78" s="143">
        <f t="shared" si="26"/>
        <v>0.34846052282998335</v>
      </c>
      <c r="E78" s="143">
        <f t="shared" si="26"/>
        <v>0.34861243141606113</v>
      </c>
    </row>
    <row r="79" spans="1:14" x14ac:dyDescent="0.25">
      <c r="A79" s="101"/>
      <c r="B79" s="102"/>
      <c r="C79" s="103"/>
      <c r="D79" s="102"/>
      <c r="E79" s="102"/>
    </row>
    <row r="80" spans="1:14" x14ac:dyDescent="0.25">
      <c r="A80" s="138" t="s">
        <v>37</v>
      </c>
      <c r="B80" s="139">
        <v>2007</v>
      </c>
      <c r="C80" s="140">
        <v>2012</v>
      </c>
      <c r="D80" s="139">
        <v>2017</v>
      </c>
      <c r="E80" s="139">
        <v>2022</v>
      </c>
    </row>
    <row r="81" spans="1:5" x14ac:dyDescent="0.25">
      <c r="A81" s="139" t="s">
        <v>3</v>
      </c>
      <c r="B81" s="141">
        <f>N34</f>
        <v>857.63056100000279</v>
      </c>
      <c r="C81" s="142">
        <f>N35</f>
        <v>943.64161848209608</v>
      </c>
      <c r="D81" s="141">
        <f>N36</f>
        <v>941.71858403750184</v>
      </c>
      <c r="E81" s="141">
        <f>N37</f>
        <v>870.00000002900174</v>
      </c>
    </row>
    <row r="82" spans="1:5" x14ac:dyDescent="0.25">
      <c r="A82" s="139" t="s">
        <v>24</v>
      </c>
      <c r="B82" s="141">
        <f>O34</f>
        <v>167.72333400000002</v>
      </c>
      <c r="C82" s="142">
        <f>O35</f>
        <v>190.14619186020013</v>
      </c>
      <c r="D82" s="141">
        <f>O36</f>
        <v>203.52264201200001</v>
      </c>
      <c r="E82" s="141">
        <f>O37</f>
        <v>185.15412381089982</v>
      </c>
    </row>
    <row r="83" spans="1:5" x14ac:dyDescent="0.25">
      <c r="A83" s="139" t="s">
        <v>25</v>
      </c>
      <c r="B83" s="143">
        <f>B82/B81</f>
        <v>0.19556594835477123</v>
      </c>
      <c r="C83" s="143">
        <f t="shared" ref="C83:E83" si="27">C82/C81</f>
        <v>0.2015025494170781</v>
      </c>
      <c r="D83" s="143">
        <f t="shared" si="27"/>
        <v>0.21611832394707756</v>
      </c>
      <c r="E83" s="143">
        <f t="shared" si="27"/>
        <v>0.21282083195945706</v>
      </c>
    </row>
  </sheetData>
  <autoFilter ref="A1:S37" xr:uid="{00000000-0009-0000-0000-000002000000}">
    <sortState ref="A2:S37">
      <sortCondition ref="B1"/>
    </sortState>
  </autoFilter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GARD</vt:lpstr>
      <vt:lpstr>PAPI_BV</vt:lpstr>
      <vt:lpstr>Tableaux PAPI BV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RETOURNA</dc:creator>
  <cp:lastModifiedBy>UYUNI REYES Violaine</cp:lastModifiedBy>
  <cp:lastPrinted>2023-03-21T15:47:54Z</cp:lastPrinted>
  <dcterms:created xsi:type="dcterms:W3CDTF">2022-12-07T09:49:19Z</dcterms:created>
  <dcterms:modified xsi:type="dcterms:W3CDTF">2023-11-24T14:18:05Z</dcterms:modified>
</cp:coreProperties>
</file>